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A" sheetId="1" r:id="rId1"/>
  </sheets>
  <definedNames>
    <definedName name="_xlnm.Print_Area" localSheetId="0">'A'!$A$43:$I$62</definedName>
    <definedName name="Print_Area_MI">'A'!$A$43:$I$62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<sst xmlns="http://schemas.openxmlformats.org/spreadsheetml/2006/main" count="251" uniqueCount="199">
  <si>
    <t xml:space="preserve">     POST-TENSION SERVICE STRESS</t>
  </si>
  <si>
    <t xml:space="preserve">   SHEET </t>
  </si>
  <si>
    <t>NO# 17</t>
  </si>
  <si>
    <t>________________________________________________________</t>
  </si>
  <si>
    <t>REFERENCE CODE:</t>
  </si>
  <si>
    <t>TRANSFER BEAM/MAX POSITIVE MOMENT</t>
  </si>
  <si>
    <t>SPAN (ft)=</t>
  </si>
  <si>
    <t>h  (in)   =</t>
  </si>
  <si>
    <t>Sb (in3) =</t>
  </si>
  <si>
    <t>yb (in)   =</t>
  </si>
  <si>
    <t>St (in3) =</t>
  </si>
  <si>
    <t>yt (in)   =</t>
  </si>
  <si>
    <t>Ag (in2) =</t>
  </si>
  <si>
    <t>Ms (KF)  =</t>
  </si>
  <si>
    <t>MsDLi (KF)=</t>
  </si>
  <si>
    <t xml:space="preserve">   </t>
  </si>
  <si>
    <t>f'c(psi) =</t>
  </si>
  <si>
    <t>f'ci(psi) =</t>
  </si>
  <si>
    <t>FOR 1 STRAND:</t>
  </si>
  <si>
    <t xml:space="preserve"> </t>
  </si>
  <si>
    <t>Mb (KF)  =</t>
  </si>
  <si>
    <t xml:space="preserve"> INITIAL</t>
  </si>
  <si>
    <t xml:space="preserve"> LOSSES(%)=</t>
  </si>
  <si>
    <t>P/T(kips)=</t>
  </si>
  <si>
    <t xml:space="preserve"> LONGTER</t>
  </si>
  <si>
    <t>MLOSSES(K)=</t>
  </si>
  <si>
    <t>Aps(in2) =</t>
  </si>
  <si>
    <t xml:space="preserve">  NUMBER OF STRANDS REQ'D =</t>
  </si>
  <si>
    <t xml:space="preserve"> [7.5*SQRT f'c]</t>
  </si>
  <si>
    <t xml:space="preserve">  </t>
  </si>
  <si>
    <t xml:space="preserve">  DESIRED N0# OF STRANDS  =</t>
  </si>
  <si>
    <t>fa(P/A)=</t>
  </si>
  <si>
    <t xml:space="preserve"> P/Amin=</t>
  </si>
  <si>
    <t>125psi</t>
  </si>
  <si>
    <t xml:space="preserve"> SERVICE</t>
  </si>
  <si>
    <t xml:space="preserve">    STRESS AT</t>
  </si>
  <si>
    <t>fb (psi) =</t>
  </si>
  <si>
    <t xml:space="preserve"> =</t>
  </si>
  <si>
    <t>STRBLK=</t>
  </si>
  <si>
    <t>STRANDS:</t>
  </si>
  <si>
    <t>ft (psi) =</t>
  </si>
  <si>
    <t xml:space="preserve">    ALLOWABLE</t>
  </si>
  <si>
    <t>f/tension (psi)=</t>
  </si>
  <si>
    <t xml:space="preserve">     STR</t>
  </si>
  <si>
    <t>ESS:</t>
  </si>
  <si>
    <t>f/comp. (psi)  =</t>
  </si>
  <si>
    <t xml:space="preserve">       UNBONDED ULTIMATE STRENGTH</t>
  </si>
  <si>
    <t>ONE-WAY BM/SLAB</t>
  </si>
  <si>
    <t>TWO-WAY PLATE</t>
  </si>
  <si>
    <t>NO=0;YES=1</t>
  </si>
  <si>
    <t>ASMIN.BONDED=</t>
  </si>
  <si>
    <t>ULTIMATE LOAD FACTOR   =</t>
  </si>
  <si>
    <t xml:space="preserve">    SPAN/DEPTH RATIO =</t>
  </si>
  <si>
    <t>As          =</t>
  </si>
  <si>
    <t>bw(in) =</t>
  </si>
  <si>
    <t>Nc          =</t>
  </si>
  <si>
    <t>bf(in) =</t>
  </si>
  <si>
    <t>dp(in) =</t>
  </si>
  <si>
    <t>d (in) =</t>
  </si>
  <si>
    <t>e (in) =</t>
  </si>
  <si>
    <t>hf (in)=</t>
  </si>
  <si>
    <t>MINIMUM BONDED</t>
  </si>
  <si>
    <t>As(in2)=</t>
  </si>
  <si>
    <t>fy(ksi)=</t>
  </si>
  <si>
    <t>DESIRED REINF.</t>
  </si>
  <si>
    <t>w      =</t>
  </si>
  <si>
    <t>Pps      =</t>
  </si>
  <si>
    <t>wp     =</t>
  </si>
  <si>
    <t>fse (ksi)=</t>
  </si>
  <si>
    <t>w + wp =</t>
  </si>
  <si>
    <t>fps (ksi)=</t>
  </si>
  <si>
    <t xml:space="preserve">    MAX</t>
  </si>
  <si>
    <t>SECONDARY EFFECT(KF) =</t>
  </si>
  <si>
    <t>Mu (KF)              =</t>
  </si>
  <si>
    <t>Ft (kips)=</t>
  </si>
  <si>
    <t>Apwfps(kips)=</t>
  </si>
  <si>
    <t>PhiMn (KF)           =</t>
  </si>
  <si>
    <t>a (in)   =</t>
  </si>
  <si>
    <t>a (in)      =</t>
  </si>
  <si>
    <t>1.2*Mocr (KF)        =</t>
  </si>
  <si>
    <t>Mu(KF)   =</t>
  </si>
  <si>
    <t>Mu(KF)      =</t>
  </si>
  <si>
    <t>PhiMncomp=</t>
  </si>
  <si>
    <t xml:space="preserve">     ULTIMATE BEAM SHEAR ANALYSIS</t>
  </si>
  <si>
    <t xml:space="preserve">   SHEET</t>
  </si>
  <si>
    <t>NO# 9</t>
  </si>
  <si>
    <t>LOCATION</t>
  </si>
  <si>
    <t>DISTANCE</t>
  </si>
  <si>
    <t>Vu(kips)</t>
  </si>
  <si>
    <t>Mu(KF)</t>
  </si>
  <si>
    <t>dp(in)</t>
  </si>
  <si>
    <t>Vc(kips)</t>
  </si>
  <si>
    <t>VcMIN(K)</t>
  </si>
  <si>
    <t>VcMAX(K)</t>
  </si>
  <si>
    <t>STIRRUPS</t>
  </si>
  <si>
    <t xml:space="preserve">  fy</t>
  </si>
  <si>
    <t>BAR SIZE</t>
  </si>
  <si>
    <t xml:space="preserve"> 60ksi</t>
  </si>
  <si>
    <t>BAR AREA</t>
  </si>
  <si>
    <t>MIN SPCG</t>
  </si>
  <si>
    <t xml:space="preserve">  REQ'D</t>
  </si>
  <si>
    <t>SPCG(in)</t>
  </si>
  <si>
    <t>d(in)=</t>
  </si>
  <si>
    <t xml:space="preserve">      Av</t>
  </si>
  <si>
    <t>MIN(in2)</t>
  </si>
  <si>
    <t>(@SPCG)</t>
  </si>
  <si>
    <t>AvMIN=</t>
  </si>
  <si>
    <t xml:space="preserve">    STIRRUP TYPE</t>
  </si>
  <si>
    <t>[_]</t>
  </si>
  <si>
    <t>Vs(kips)</t>
  </si>
  <si>
    <t>PhiVn(K)</t>
  </si>
  <si>
    <t>ULTIMATE BEAM SHEAR/TORSION ANALYSIS</t>
  </si>
  <si>
    <t>NO# 20</t>
  </si>
  <si>
    <t>Ms(KF)</t>
  </si>
  <si>
    <t>Tu(KF)</t>
  </si>
  <si>
    <t xml:space="preserve"> (TOTAL)</t>
  </si>
  <si>
    <t>Mb(KF)</t>
  </si>
  <si>
    <t>Ac(in2)</t>
  </si>
  <si>
    <t>Pc(in)</t>
  </si>
  <si>
    <t>bv(in)</t>
  </si>
  <si>
    <t>dv(in)</t>
  </si>
  <si>
    <t>Aoh(in2)</t>
  </si>
  <si>
    <t>ph(in)</t>
  </si>
  <si>
    <t xml:space="preserve">       d</t>
  </si>
  <si>
    <t>MIN(in) =</t>
  </si>
  <si>
    <t>e(in)</t>
  </si>
  <si>
    <t>FT(kips)</t>
  </si>
  <si>
    <t>=</t>
  </si>
  <si>
    <t>Apwfps=</t>
  </si>
  <si>
    <t>Vp(kips)</t>
  </si>
  <si>
    <t>a (in)  =</t>
  </si>
  <si>
    <t>a     =</t>
  </si>
  <si>
    <t>fps(ksi)</t>
  </si>
  <si>
    <t>Mu(KF)  =</t>
  </si>
  <si>
    <t>Mu    =</t>
  </si>
  <si>
    <t>As(in2)</t>
  </si>
  <si>
    <t>d(in)</t>
  </si>
  <si>
    <t xml:space="preserve">       P</t>
  </si>
  <si>
    <t>hiMn(KF)</t>
  </si>
  <si>
    <t xml:space="preserve">    1.2*</t>
  </si>
  <si>
    <t>Mocr(KF)</t>
  </si>
  <si>
    <t>*INCREASE REINF.</t>
  </si>
  <si>
    <t>*(FLEXURAL)</t>
  </si>
  <si>
    <t>Phi*.67*</t>
  </si>
  <si>
    <t>Tocr(KF)</t>
  </si>
  <si>
    <t>*Tu REINF. REQ'D</t>
  </si>
  <si>
    <t>*(STIRRUPS)</t>
  </si>
  <si>
    <t>tn(KSI)</t>
  </si>
  <si>
    <t xml:space="preserve">      THETA MIN</t>
  </si>
  <si>
    <t xml:space="preserve">      THETA MAX</t>
  </si>
  <si>
    <t>INCREASE SECTION</t>
  </si>
  <si>
    <t xml:space="preserve"> (SEE NOTE 1)</t>
  </si>
  <si>
    <t>Vcr      =</t>
  </si>
  <si>
    <t xml:space="preserve"> *THETA(degrees)</t>
  </si>
  <si>
    <t>*(AVERAGE)</t>
  </si>
  <si>
    <t>a.       =</t>
  </si>
  <si>
    <t xml:space="preserve">      Vo</t>
  </si>
  <si>
    <t>cr(kips)</t>
  </si>
  <si>
    <t>*(Vcr&gt;=Vs)</t>
  </si>
  <si>
    <t xml:space="preserve">   THETA/ACTUAL</t>
  </si>
  <si>
    <t>ao(in)</t>
  </si>
  <si>
    <t>Ao(in2)</t>
  </si>
  <si>
    <t xml:space="preserve">     At(</t>
  </si>
  <si>
    <t>in2/ft)</t>
  </si>
  <si>
    <t xml:space="preserve">     Av(</t>
  </si>
  <si>
    <t>*(SEE ABOVE)</t>
  </si>
  <si>
    <t xml:space="preserve"> Av+2At(in2/ft)</t>
  </si>
  <si>
    <t xml:space="preserve"> (MIN)</t>
  </si>
  <si>
    <t>........................................................................</t>
  </si>
  <si>
    <t xml:space="preserve"> Mn      =</t>
  </si>
  <si>
    <t xml:space="preserve"> STIRRUP TYPES:</t>
  </si>
  <si>
    <t xml:space="preserve">  A;[]</t>
  </si>
  <si>
    <t xml:space="preserve"> B;[][]</t>
  </si>
  <si>
    <t>C;[[_][_]]</t>
  </si>
  <si>
    <t>-MnMAX   =</t>
  </si>
  <si>
    <t xml:space="preserve">    BAR SIZE</t>
  </si>
  <si>
    <t xml:space="preserve">    BAR AREA</t>
  </si>
  <si>
    <t>(in2/LEG)</t>
  </si>
  <si>
    <t xml:space="preserve">    BAR TYPE</t>
  </si>
  <si>
    <t>B</t>
  </si>
  <si>
    <t xml:space="preserve"> REQ'D SPACING</t>
  </si>
  <si>
    <t xml:space="preserve">  (in.)</t>
  </si>
  <si>
    <t>SHR/TRSN =</t>
  </si>
  <si>
    <t xml:space="preserve">  DELTAN</t>
  </si>
  <si>
    <t>u(kips)</t>
  </si>
  <si>
    <t>SHEAR    =</t>
  </si>
  <si>
    <t xml:space="preserve">     MIN</t>
  </si>
  <si>
    <t>Mn(KF)</t>
  </si>
  <si>
    <t>MIN/MAX  =</t>
  </si>
  <si>
    <t>LONG.REINF.REQ'D</t>
  </si>
  <si>
    <t>*(MINMn&gt;PhiMn/.90)</t>
  </si>
  <si>
    <t>MIN      =</t>
  </si>
  <si>
    <t>MAX      =</t>
  </si>
  <si>
    <t>NOTE 1:</t>
  </si>
  <si>
    <t>CHECK TO INSURE THAT THE TRANSVERSE REINFORCEMENT YIELDS BEFORE</t>
  </si>
  <si>
    <t>AvMIN    =</t>
  </si>
  <si>
    <t>BEFORE DIAGONAL CRUSHING OF THE CONCRETE.</t>
  </si>
  <si>
    <t>(in2/FT)</t>
  </si>
  <si>
    <t>SPACING @ Av MIN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</si>
</sst>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116"/>
  <sheetViews>
    <sheetView showGridLines="0" tabSelected="1" workbookViewId="0" topLeftCell="A1">
      <selection activeCell="H74" sqref="H74"/>
    </sheetView>
  </sheetViews>
  <sheetFormatPr defaultColWidth="10.875" defaultRowHeight="12.75"/>
  <cols>
    <col min="1" max="29" width="8.625" style="0" customWidth="1"/>
  </cols>
  <sheetData>
    <row r="1" spans="3:9" ht="12">
      <c r="C1" t="s">
        <v>0</v>
      </c>
      <c r="H1" t="s">
        <v>1</v>
      </c>
      <c r="I1" s="1" t="s">
        <v>2</v>
      </c>
    </row>
    <row r="2" ht="12">
      <c r="B2" s="1" t="s">
        <v>3</v>
      </c>
    </row>
    <row r="3" spans="2:4" ht="12">
      <c r="B3" t="s">
        <v>4</v>
      </c>
      <c r="D3" s="1" t="s">
        <v>5</v>
      </c>
    </row>
    <row r="4" spans="2:8" ht="12">
      <c r="B4" t="s">
        <v>6</v>
      </c>
      <c r="D4" s="1">
        <v>25</v>
      </c>
      <c r="F4" t="s">
        <v>7</v>
      </c>
      <c r="H4" s="1">
        <v>30</v>
      </c>
    </row>
    <row r="5" spans="2:8" ht="12">
      <c r="B5" t="s">
        <v>8</v>
      </c>
      <c r="D5" s="1">
        <v>6755.1</v>
      </c>
      <c r="F5" t="s">
        <v>9</v>
      </c>
      <c r="H5" s="1">
        <v>16.33</v>
      </c>
    </row>
    <row r="6" spans="2:8" ht="12">
      <c r="B6" t="s">
        <v>10</v>
      </c>
      <c r="D6" s="1">
        <v>8069.5</v>
      </c>
      <c r="F6" t="s">
        <v>11</v>
      </c>
      <c r="H6" s="1">
        <v>13.67</v>
      </c>
    </row>
    <row r="7" spans="2:8" ht="12">
      <c r="B7" t="s">
        <v>12</v>
      </c>
      <c r="D7" s="1">
        <v>1629</v>
      </c>
      <c r="H7" s="1"/>
    </row>
    <row r="8" spans="2:8" ht="12">
      <c r="B8" t="s">
        <v>13</v>
      </c>
      <c r="D8" s="1">
        <v>405.84</v>
      </c>
      <c r="F8" t="s">
        <v>14</v>
      </c>
      <c r="H8" s="1">
        <v>325.36</v>
      </c>
    </row>
    <row r="9" spans="1:8" ht="12">
      <c r="A9" s="1" t="s">
        <v>15</v>
      </c>
      <c r="B9" t="s">
        <v>16</v>
      </c>
      <c r="D9" s="1">
        <v>4000</v>
      </c>
      <c r="F9" t="s">
        <v>17</v>
      </c>
      <c r="H9" s="1">
        <v>2400</v>
      </c>
    </row>
    <row r="10" spans="2:8" ht="12">
      <c r="B10" t="s">
        <v>18</v>
      </c>
      <c r="H10" s="1"/>
    </row>
    <row r="11" spans="1:8" ht="12">
      <c r="A11" s="1" t="s">
        <v>19</v>
      </c>
      <c r="B11" t="s">
        <v>20</v>
      </c>
      <c r="D11" s="1">
        <v>-23.34</v>
      </c>
      <c r="E11" t="s">
        <v>21</v>
      </c>
      <c r="F11" t="s">
        <v>22</v>
      </c>
      <c r="H11" s="1">
        <v>3</v>
      </c>
    </row>
    <row r="12" spans="1:8" ht="12">
      <c r="A12" s="1" t="s">
        <v>19</v>
      </c>
      <c r="B12" t="s">
        <v>23</v>
      </c>
      <c r="D12" s="1">
        <v>24.58</v>
      </c>
      <c r="E12" t="s">
        <v>24</v>
      </c>
      <c r="F12" t="s">
        <v>25</v>
      </c>
      <c r="H12" s="1">
        <v>3.06</v>
      </c>
    </row>
    <row r="13" spans="2:4" ht="12">
      <c r="B13" t="s">
        <v>26</v>
      </c>
      <c r="D13" s="1">
        <v>0.153</v>
      </c>
    </row>
    <row r="14" spans="1:9" ht="12">
      <c r="A14" t="s">
        <v>27</v>
      </c>
      <c r="E14">
        <f>IF(D8&gt;0,((ABS(D8)*12)-(D5*(ABS(E19)/1000)))/((ABS(D11)*12)+((D5*D12)/D7)),((ABS(D8)*12)-(D6*(ABS(E19)/1000)))/((ABS(D11)*12)+((D6*D12)/D7)))</f>
        <v>4.360787403189405</v>
      </c>
      <c r="F14" t="s">
        <v>28</v>
      </c>
      <c r="I14" s="2" t="s">
        <v>29</v>
      </c>
    </row>
    <row r="15" spans="1:9" ht="12">
      <c r="A15" t="s">
        <v>30</v>
      </c>
      <c r="E15" s="1">
        <v>9</v>
      </c>
      <c r="F15" t="s">
        <v>31</v>
      </c>
      <c r="G15">
        <f>((E15*D12)/D7)*1000</f>
        <v>135.8011049723757</v>
      </c>
      <c r="H15" t="s">
        <v>32</v>
      </c>
      <c r="I15" s="3" t="s">
        <v>33</v>
      </c>
    </row>
    <row r="16" spans="5:7" ht="12">
      <c r="E16" t="s">
        <v>34</v>
      </c>
      <c r="G16" t="s">
        <v>21</v>
      </c>
    </row>
    <row r="17" spans="1:14" ht="12">
      <c r="A17" t="s">
        <v>35</v>
      </c>
      <c r="C17" t="s">
        <v>36</v>
      </c>
      <c r="D17" t="s">
        <v>37</v>
      </c>
      <c r="E17">
        <f>(E15*D12*1000/D7)-(D8*12000/D5)-(D11*E15*12000/D5)</f>
        <v>-211.98945327250595</v>
      </c>
      <c r="F17" s="3" t="s">
        <v>29</v>
      </c>
      <c r="G17">
        <f>(E15*((D12+H12)*(1-(H11/100)))*1000/D7)-(H8*12000/D5)-(D11*(((D12+H12)/D12)*(1-(H11/100)))*E15*12000/D5)</f>
        <v>-22.830457032574373</v>
      </c>
      <c r="H17">
        <f>IF(G17&gt;0,IF(G17&gt;G20," f'cimin",""),IF(G17&lt;G19," Asreq'd",""))</f>
      </c>
      <c r="I17">
        <f>IF(H17=" f'cimin",G17/0.6,IF(H17=" Asreq'd",IF(N17&gt;(H4-E32),"NOT CALC",((((N17*ABS(G17))/2)*E27)/30000)),""))</f>
      </c>
      <c r="M17" t="s">
        <v>38</v>
      </c>
      <c r="N17">
        <f>(ABS(G17)/((ABS(G17)+ABS(G18))/H4))</f>
        <v>2.1807911579178754</v>
      </c>
    </row>
    <row r="18" spans="1:14" ht="12">
      <c r="A18">
        <f>E15</f>
        <v>9</v>
      </c>
      <c r="B18" t="s">
        <v>39</v>
      </c>
      <c r="C18" t="s">
        <v>40</v>
      </c>
      <c r="D18" t="s">
        <v>37</v>
      </c>
      <c r="E18">
        <f>(E15*D12*1000/D7)+(D8*12000/D6)+(D11*E15*12000/D6)</f>
        <v>426.9418200104821</v>
      </c>
      <c r="F18" s="3" t="s">
        <v>29</v>
      </c>
      <c r="G18">
        <f>(E15*((D12+H12)*(1-(H11/100)))*1000/D7)+(H8*12000/D6)+(D11*(((D12+H12)/D12)*(1-(H11/100)))*E15*12000/D6)</f>
        <v>291.23616438162696</v>
      </c>
      <c r="H18">
        <f>IF(G18&gt;0,IF(G18&gt;G20," f'cimin",""),IF(G18&lt;G19," Asreq'd",""))</f>
      </c>
      <c r="I18">
        <f>IF(H18=" f'cimin",G18/0.6,IF(H18=" Asreq'd",IF(N18&gt;E32,"NOT CALC",((((N18*ABS(G18))/2)*E28)/30000)),""))</f>
      </c>
      <c r="M18" t="s">
        <v>38</v>
      </c>
      <c r="N18">
        <f>(ABS(G18)/((ABS(G18)+ABS(G17))/H4))</f>
        <v>27.819208842082126</v>
      </c>
    </row>
    <row r="19" spans="1:9" ht="12">
      <c r="A19" t="s">
        <v>41</v>
      </c>
      <c r="C19" t="s">
        <v>42</v>
      </c>
      <c r="E19">
        <f>-7.5*(SQRT(D9))</f>
        <v>-474.3416490252569</v>
      </c>
      <c r="F19" s="3" t="s">
        <v>19</v>
      </c>
      <c r="G19">
        <f>-3*(SQRT(H9))</f>
        <v>-146.9693845669907</v>
      </c>
      <c r="I19" s="1" t="s">
        <v>19</v>
      </c>
    </row>
    <row r="20" spans="1:7" ht="12">
      <c r="A20" t="s">
        <v>43</v>
      </c>
      <c r="B20" t="s">
        <v>44</v>
      </c>
      <c r="C20" t="s">
        <v>45</v>
      </c>
      <c r="E20">
        <f>0.45*D9</f>
        <v>1800</v>
      </c>
      <c r="F20" s="3" t="s">
        <v>19</v>
      </c>
      <c r="G20">
        <f>0.6*H9</f>
        <v>1440</v>
      </c>
    </row>
    <row r="22" ht="12">
      <c r="C22" t="s">
        <v>46</v>
      </c>
    </row>
    <row r="23" ht="12">
      <c r="B23" t="s">
        <v>3</v>
      </c>
    </row>
    <row r="24" spans="2:9" ht="12">
      <c r="B24" s="1" t="s">
        <v>19</v>
      </c>
      <c r="C24" s="1" t="s">
        <v>19</v>
      </c>
      <c r="D24" t="s">
        <v>47</v>
      </c>
      <c r="F24" s="1" t="s">
        <v>19</v>
      </c>
      <c r="G24" t="s">
        <v>48</v>
      </c>
      <c r="I24" s="1" t="s">
        <v>19</v>
      </c>
    </row>
    <row r="25" spans="2:16" ht="12">
      <c r="B25" t="s">
        <v>49</v>
      </c>
      <c r="D25" s="1">
        <v>1</v>
      </c>
      <c r="G25" s="1">
        <v>0</v>
      </c>
      <c r="N25" t="s">
        <v>50</v>
      </c>
      <c r="P25">
        <f>IF(D25=1,P26,P27)</f>
        <v>3.13536</v>
      </c>
    </row>
    <row r="26" spans="2:16" ht="12">
      <c r="B26" t="s">
        <v>51</v>
      </c>
      <c r="E26" s="1">
        <v>1.46</v>
      </c>
      <c r="F26" t="s">
        <v>52</v>
      </c>
      <c r="I26">
        <f>(D4*12)/H4</f>
        <v>10</v>
      </c>
      <c r="N26" t="s">
        <v>53</v>
      </c>
      <c r="P26">
        <f>IF(D8&gt;0,IF((H4-E32)&gt;H5,(0.004*(H5*E27)),(0.004*(((H4-E32)*E27)+(((H5-(H4-E32))*E28))))),IF(E32&gt;H6,(0.004*H6*E28),(0.004*((E32*E28)+((H6-E32)*E27)))))</f>
        <v>3.13536</v>
      </c>
    </row>
    <row r="27" spans="3:24" ht="12">
      <c r="C27" s="1" t="s">
        <v>19</v>
      </c>
      <c r="D27" t="s">
        <v>54</v>
      </c>
      <c r="E27" s="1">
        <v>48</v>
      </c>
      <c r="F27" s="1" t="s">
        <v>19</v>
      </c>
      <c r="N27" t="s">
        <v>53</v>
      </c>
      <c r="P27">
        <f>IF(D8&lt;0,(0.00075*H4*(D4*12)),IF(ABS(E17)&lt;=(2*(SQRT(D9))),0,X27/(0.5*60000)))</f>
        <v>9.418472727272725</v>
      </c>
      <c r="V27" t="s">
        <v>55</v>
      </c>
      <c r="X27">
        <f>((((D8*12)/D5)*1000*H5)/2)*E27</f>
        <v>282554.18181818177</v>
      </c>
    </row>
    <row r="28" spans="4:5" ht="12">
      <c r="D28" t="s">
        <v>56</v>
      </c>
      <c r="E28" s="1">
        <v>75</v>
      </c>
    </row>
    <row r="29" spans="4:5" ht="12">
      <c r="D29" t="s">
        <v>57</v>
      </c>
      <c r="E29" s="1">
        <v>27.75</v>
      </c>
    </row>
    <row r="30" spans="4:5" ht="12">
      <c r="D30" t="s">
        <v>58</v>
      </c>
      <c r="E30" s="1">
        <v>27.5</v>
      </c>
    </row>
    <row r="31" spans="4:8" ht="12">
      <c r="D31" t="s">
        <v>59</v>
      </c>
      <c r="E31" s="1">
        <v>14</v>
      </c>
      <c r="G31" s="1" t="s">
        <v>19</v>
      </c>
      <c r="H31" s="1" t="s">
        <v>19</v>
      </c>
    </row>
    <row r="32" spans="4:9" ht="12">
      <c r="D32" t="s">
        <v>60</v>
      </c>
      <c r="E32" s="1">
        <v>7</v>
      </c>
      <c r="F32" s="1" t="s">
        <v>29</v>
      </c>
      <c r="I32" s="1" t="s">
        <v>29</v>
      </c>
    </row>
    <row r="33" spans="2:8" ht="12">
      <c r="B33" t="s">
        <v>61</v>
      </c>
      <c r="D33" t="s">
        <v>62</v>
      </c>
      <c r="E33">
        <f>P25</f>
        <v>3.13536</v>
      </c>
      <c r="G33" t="s">
        <v>63</v>
      </c>
      <c r="H33">
        <v>60</v>
      </c>
    </row>
    <row r="34" spans="2:8" ht="12">
      <c r="B34" t="s">
        <v>64</v>
      </c>
      <c r="D34" t="s">
        <v>62</v>
      </c>
      <c r="E34" s="1">
        <v>3.52</v>
      </c>
      <c r="G34" t="s">
        <v>65</v>
      </c>
      <c r="H34">
        <f>IF(D8&lt;0,((E34/(E30*(IF(D8&gt;0,E28,E27))))*60)/(D9/1000),IF(P40&gt;E32,"N/A",((E34/(E30*(IF(D8&gt;0,E28,E27))))*60)/(D9/1000)))</f>
        <v>0.0256</v>
      </c>
    </row>
    <row r="35" spans="2:8" ht="12">
      <c r="B35" t="s">
        <v>66</v>
      </c>
      <c r="D35">
        <f>IF(D8&gt;0,(D13*E15)/(E28*E29),(D13*E15)/(E27*E29))</f>
        <v>0.0006616216216216216</v>
      </c>
      <c r="G35" t="s">
        <v>67</v>
      </c>
      <c r="H35">
        <f>IF(D8&lt;0,(D35*D37)/(D9/1000),IF(P40&gt;E32,"N/A",(D35*D37)/(D9/1000)))</f>
        <v>0.03822702702702702</v>
      </c>
    </row>
    <row r="36" spans="2:8" ht="12">
      <c r="B36" t="s">
        <v>68</v>
      </c>
      <c r="D36">
        <f>D12/D13</f>
        <v>160.6535947712418</v>
      </c>
      <c r="G36" t="s">
        <v>69</v>
      </c>
      <c r="H36">
        <f>IF(D8&lt;0,H34+H35,IF(P40&gt;E32,"N/A",H34+H35))</f>
        <v>0.06382702702702703</v>
      </c>
    </row>
    <row r="37" spans="2:8" ht="12">
      <c r="B37" t="s">
        <v>70</v>
      </c>
      <c r="D37">
        <f>IF(I26&lt;=35,D36+10+((D9/(100*D35))/1000),D36+10+((D9/(300*D35))/1000))</f>
        <v>231.1111111111111</v>
      </c>
      <c r="F37" t="s">
        <v>71</v>
      </c>
      <c r="G37" t="s">
        <v>69</v>
      </c>
      <c r="H37">
        <f>0.36*(IF(D9&lt;5000,0.85,IF(D9&lt;6000,0.8,IF(D9&lt;7000,0.75,IF(D9&lt;8000,0.7,IF(D9&lt;9000,0.65,0.65))))))</f>
        <v>0.306</v>
      </c>
    </row>
    <row r="38" spans="2:7" ht="12">
      <c r="B38" t="s">
        <v>72</v>
      </c>
      <c r="E38">
        <f>IF(D8&gt;0,(((E31/12)*D12*E15)+(D11*E15)),((D11*E15)-((E31/12)*D12*E15)))</f>
        <v>48.02999999999997</v>
      </c>
      <c r="G38">
        <f>IF(D8&lt;0,IF(H37&lt;=H36,"OVERREINFORCED SECTION",""),IF(P40&gt;E32,"",IF(H37&lt;=H36,"OVERREINFORCED SECTION","")))</f>
      </c>
    </row>
    <row r="39" spans="2:24" ht="12">
      <c r="B39" t="s">
        <v>73</v>
      </c>
      <c r="E39">
        <f>(D8*E26)+E38</f>
        <v>640.5563999999999</v>
      </c>
      <c r="F39">
        <f>IF(G38="OVERREINFORCED SECTION","    MAX","")</f>
      </c>
      <c r="G39">
        <f>IF(G38="OVERREINFORCED SECTION","PhiMn  =","")</f>
      </c>
      <c r="H39">
        <f>IF(G38="OVERREINFORCED SECTION",IF(D8&lt;0,P42,IF(P40&gt;E32,(0.9*(((D9/1000)*E27*(E29^2)*(H37-(0.08*((H37/0.36)^2))))+(0.85*(D9/1000)*(E28-E27)*E32*(E29-(0.5*E32)))))/12,P42)),"")</f>
      </c>
      <c r="N39" t="s">
        <v>74</v>
      </c>
      <c r="P39">
        <f>(D13*E15*D37)+(E34*60)</f>
        <v>529.4399999999999</v>
      </c>
      <c r="V39" t="s">
        <v>75</v>
      </c>
      <c r="X39">
        <f>(D13*E15*D37)+(E34*60)-(0.85*(D9/1000)*(E28-E27)*E32)</f>
        <v>-113.16000000000008</v>
      </c>
    </row>
    <row r="40" spans="2:24" ht="12">
      <c r="B40" t="s">
        <v>76</v>
      </c>
      <c r="E40">
        <f>IF(D8&gt;0,P41,((-0.9*((D13*E15*D37*(E29-(P40/2)))+(E34*60*(E30-(P40/2)))))/12))</f>
        <v>1056.7154244705882</v>
      </c>
      <c r="F40" t="str">
        <f>IF(ABS(E40)&gt;ABS(E39),IF(G38="OVERREINFORCED SECTION","","  ADEQ. REINF. PROVIDED"),"  INCREASE REINF. !")</f>
        <v>  ADEQ. REINF. PROVIDED</v>
      </c>
      <c r="I40" s="1" t="s">
        <v>19</v>
      </c>
      <c r="N40" t="s">
        <v>77</v>
      </c>
      <c r="P40">
        <f>IF(D8&gt;0,(P39*1000)/(0.85*D9*E28),(P39*1000)/(0.85*D9*E27))</f>
        <v>2.0762352941176467</v>
      </c>
      <c r="V40" t="s">
        <v>78</v>
      </c>
      <c r="X40">
        <f>(X39*1000)/(0.85*D9*E27)</f>
        <v>-0.693382352941177</v>
      </c>
    </row>
    <row r="41" spans="2:24" ht="12">
      <c r="B41" t="s">
        <v>79</v>
      </c>
      <c r="E41">
        <f>1.2*(((IF(D8&lt;0,-D6,D5))/12000)*((7.5*(SQRT(D9)))+((((D12*E15)/D7)+(((ABS(D11*E15))*12)/(IF(D8&lt;0,D6,D5))))*1000)))</f>
        <v>664.2295317529407</v>
      </c>
      <c r="F41" t="str">
        <f>IF(ABS(E41)&gt;ABS(E40),IF(ABS(E40)&gt;ABS(2*E39),"  ADEQ. REINF. PROVIDED","  INCREASE SECTION !"),"  ADEQ. REINF. PROVIDED")</f>
        <v>  ADEQ. REINF. PROVIDED</v>
      </c>
      <c r="N41" t="s">
        <v>80</v>
      </c>
      <c r="P41">
        <f>IF(P40&gt;E32,X41,((0.9*((D13*E15*D37*(E29-(P40/2)))+(E34*60*(E30-(P40/2)))))/12))</f>
        <v>1056.7154244705882</v>
      </c>
      <c r="V41" t="s">
        <v>81</v>
      </c>
      <c r="X41">
        <f>(0.9*((X39*(E29-(X40/2)))+(E34*60*(E30-E29))+(0.85*(D9/1000)*(E28-E27)*E32*(E29-(E32/2)))))/12</f>
        <v>926.3121319852941</v>
      </c>
    </row>
    <row r="42" spans="14:16" ht="12">
      <c r="N42" t="s">
        <v>82</v>
      </c>
      <c r="P42">
        <f>IF(D8&lt;0,(-0.9*((D9/1000)*E27*(E29^2)*(H37-(0.08*((H37/0.36)^2)))))/12,(0.9*((D9/1000)*E28*(E29^2)*(H37-(0.08*((H37/0.36)^2)))))/12)</f>
        <v>4300.41403125</v>
      </c>
    </row>
    <row r="43" spans="3:9" ht="12">
      <c r="C43" t="s">
        <v>83</v>
      </c>
      <c r="H43" t="s">
        <v>84</v>
      </c>
      <c r="I43" s="1" t="s">
        <v>85</v>
      </c>
    </row>
    <row r="44" ht="12">
      <c r="B44" t="s">
        <v>3</v>
      </c>
    </row>
    <row r="45" spans="2:8" ht="12">
      <c r="B45" t="s">
        <v>86</v>
      </c>
      <c r="C45">
        <v>1</v>
      </c>
      <c r="D45">
        <v>2</v>
      </c>
      <c r="E45">
        <v>3</v>
      </c>
      <c r="F45">
        <v>4</v>
      </c>
      <c r="G45">
        <v>5</v>
      </c>
      <c r="H45">
        <v>6</v>
      </c>
    </row>
    <row r="46" spans="2:8" ht="12">
      <c r="B46" t="s">
        <v>87</v>
      </c>
      <c r="C46" s="1">
        <v>47.75</v>
      </c>
      <c r="D46" s="1">
        <v>45</v>
      </c>
      <c r="E46" s="1">
        <v>40</v>
      </c>
      <c r="F46" s="1">
        <v>35</v>
      </c>
      <c r="G46" s="1">
        <v>30</v>
      </c>
      <c r="H46" s="1">
        <v>25</v>
      </c>
    </row>
    <row r="47" spans="2:9" ht="12">
      <c r="B47" t="s">
        <v>88</v>
      </c>
      <c r="C47" s="1">
        <v>121.11</v>
      </c>
      <c r="D47" s="1">
        <v>107.49</v>
      </c>
      <c r="E47" s="1">
        <v>82.72</v>
      </c>
      <c r="F47" s="1">
        <v>57.95</v>
      </c>
      <c r="G47" s="1">
        <v>33.18</v>
      </c>
      <c r="H47" s="1">
        <v>8.41</v>
      </c>
      <c r="I47" s="1" t="s">
        <v>19</v>
      </c>
    </row>
    <row r="48" spans="2:8" ht="12">
      <c r="B48" t="s">
        <v>89</v>
      </c>
      <c r="C48" s="1">
        <v>-887.27</v>
      </c>
      <c r="D48" s="1">
        <v>-572.93</v>
      </c>
      <c r="E48" s="1">
        <v>-97.38</v>
      </c>
      <c r="F48" s="1">
        <v>254.31</v>
      </c>
      <c r="G48" s="1">
        <v>482.16</v>
      </c>
      <c r="H48" s="1">
        <v>586.14</v>
      </c>
    </row>
    <row r="49" spans="2:8" ht="12">
      <c r="B49" t="s">
        <v>90</v>
      </c>
      <c r="C49" s="1">
        <v>27.23</v>
      </c>
      <c r="D49" s="1">
        <v>22</v>
      </c>
      <c r="E49" s="1">
        <v>19.74</v>
      </c>
      <c r="F49" s="1">
        <v>17.91</v>
      </c>
      <c r="G49" s="1">
        <v>23.38</v>
      </c>
      <c r="H49" s="1">
        <v>26.66</v>
      </c>
    </row>
    <row r="50" spans="2:8" ht="12">
      <c r="B50" t="s">
        <v>91</v>
      </c>
      <c r="C50">
        <f>(((0.6*(SQRT(D9)))+(700*(IF(((C47*C49)/(ABS(C48*12)))&gt;1,1,((C47*C49)/(ABS(C48*12)))))))*(E27*(IF(C49&lt;(0.8*H4),(0.8*H4),(C49)))))/1000</f>
        <v>332.98411262807883</v>
      </c>
      <c r="D50">
        <f>(((0.6*(SQRT(D9)))+(700*(IF(((D47*D49)/(ABS(D48*12)))&gt;1,1,((D47*D49)/(ABS(D48*12)))))))*(E27*(IF(D49&lt;(0.8*H4),(0.8*H4),(D49)))))/1000</f>
        <v>321.0846664331626</v>
      </c>
      <c r="E50">
        <f>(((0.6*(SQRT(D9)))+(700*(IF(((E47*E49)/(ABS(E48*12)))&gt;1,1,((E47*E49)/(ABS(E48*12)))))))*(E27*(IF(E49&lt;(0.8*H4),(0.8*H4),(E49)))))/1000</f>
        <v>850.1153263741677</v>
      </c>
      <c r="F50">
        <f>(((0.6*(SQRT(D9)))+(700*(IF(((F47*F49)/(ABS(F48*12)))&gt;1,1,((F47*F49)/(ABS(F48*12)))))))*(E27*(IF(F49&lt;(0.8*H4),(0.8*H4),(F49)))))/1000</f>
        <v>317.9705204286681</v>
      </c>
      <c r="G50">
        <f>(((0.6*(SQRT(D9)))+(700*(IF(((G47*G49)/(ABS(G48*12)))&gt;1,1,((G47*G49)/(ABS(G48*12)))))))*(E27*(IF(G49&lt;(0.8*H4),(0.8*H4),(G49)))))/1000</f>
        <v>151.83357027660668</v>
      </c>
      <c r="H50">
        <f>(((0.6*(SQRT(D9)))+(700*(IF(((H47*H49)/(ABS(H48*12)))&gt;1,1,((H47*H49)/(ABS(H48*12)))))))*(E27*(IF(H49&lt;(0.8*H4),(0.8*H4),(H49)))))/1000</f>
        <v>77.11483634460559</v>
      </c>
    </row>
    <row r="51" spans="2:8" ht="12">
      <c r="B51" t="s">
        <v>92</v>
      </c>
      <c r="C51">
        <f>(2*(SQRT(D9))*E27*(IF(C49&lt;(0.8*H4),(0.8*H4),(C49))))/1000</f>
        <v>165.32893571785914</v>
      </c>
      <c r="D51">
        <f>(2*(SQRT(D9))*E27*(IF(D49&lt;(0.8*H4),(0.8*H4),(D49))))/1000</f>
        <v>145.71775458055893</v>
      </c>
      <c r="E51">
        <f>(2*(SQRT(D9))*E27*(IF(E49&lt;(0.8*H4),(0.8*H4),(E49))))/1000</f>
        <v>145.71775458055893</v>
      </c>
      <c r="F51">
        <f>(2*(SQRT(D9))*E27*(IF(F49&lt;(0.8*H4),(0.8*H4),(F49))))/1000</f>
        <v>145.71775458055893</v>
      </c>
      <c r="G51">
        <f>(2*(SQRT(D9))*E27*(IF(G49&lt;(0.8*H4),(0.8*H4),(G49))))/1000</f>
        <v>145.71775458055893</v>
      </c>
      <c r="H51">
        <f>(2*(SQRT(D9))*E27*(IF(H49&lt;(0.8*H4),(0.8*H4),(H49))))/1000</f>
        <v>161.86813904657086</v>
      </c>
    </row>
    <row r="52" spans="2:8" ht="12">
      <c r="B52" t="s">
        <v>93</v>
      </c>
      <c r="C52">
        <f>(5*(SQRT(D9))*E27*(IF(C49&lt;(0.8*H4),(0.8*H4),(C49))))/1000</f>
        <v>413.3223392946478</v>
      </c>
      <c r="D52">
        <f>(5*(SQRT(D9))*E27*(IF(D49&lt;(0.8*H4),(0.8*H4),(D49))))/1000</f>
        <v>364.29438645139726</v>
      </c>
      <c r="E52">
        <f>(5*(SQRT(D9))*E27*(IF(E49&lt;(0.8*H4),(0.8*H4),(E49))))/1000</f>
        <v>364.29438645139726</v>
      </c>
      <c r="F52">
        <f>(5*(SQRT(D9))*E27*(IF(F49&lt;(0.8*H4),(0.8*H4),(F49))))/1000</f>
        <v>364.29438645139726</v>
      </c>
      <c r="G52">
        <f>(5*(SQRT(D9))*E27*(IF(G49&lt;(0.8*H4),(0.8*H4),(G49))))/1000</f>
        <v>364.29438645139726</v>
      </c>
      <c r="H52">
        <f>(5*(SQRT(D9))*E27*(IF(H49&lt;(0.8*H4),(0.8*H4),(H49))))/1000</f>
        <v>404.67034761642714</v>
      </c>
    </row>
    <row r="53" spans="2:9" ht="12">
      <c r="B53" t="s">
        <v>94</v>
      </c>
      <c r="C53" t="str">
        <f aca="true" t="shared" si="0" ref="C53:H53">IF(0.85*(IF(C50&lt;C51,C51,(IF(C50&gt;C52,C52,C50))))&lt;C47,"  REQ'D",(IF(0.425*(IF(C50&lt;C51,C51,(IF(C50&gt;C52,C52,C50))))&lt;C47,"   MIN","   N/R")))</f>
        <v>   N/R</v>
      </c>
      <c r="D53" t="str">
        <f t="shared" si="0"/>
        <v>   N/R</v>
      </c>
      <c r="E53" t="str">
        <f t="shared" si="0"/>
        <v>   N/R</v>
      </c>
      <c r="F53" t="str">
        <f t="shared" si="0"/>
        <v>   N/R</v>
      </c>
      <c r="G53" t="str">
        <f t="shared" si="0"/>
        <v>   N/R</v>
      </c>
      <c r="H53" t="str">
        <f t="shared" si="0"/>
        <v>   N/R</v>
      </c>
      <c r="I53" t="s">
        <v>95</v>
      </c>
    </row>
    <row r="54" spans="1:9" ht="12">
      <c r="A54" s="1" t="s">
        <v>19</v>
      </c>
      <c r="B54" t="s">
        <v>96</v>
      </c>
      <c r="C54" s="1">
        <v>6</v>
      </c>
      <c r="D54" s="1">
        <v>6</v>
      </c>
      <c r="E54" s="1">
        <v>6</v>
      </c>
      <c r="F54" s="1">
        <v>6</v>
      </c>
      <c r="G54" s="1">
        <v>4</v>
      </c>
      <c r="H54" s="1">
        <v>4</v>
      </c>
      <c r="I54" t="s">
        <v>97</v>
      </c>
    </row>
    <row r="55" spans="1:8" ht="12">
      <c r="A55" s="1" t="s">
        <v>29</v>
      </c>
      <c r="B55" t="s">
        <v>98</v>
      </c>
      <c r="C55">
        <f aca="true" t="shared" si="1" ref="C55:H55">IF(C54=3,0.11,IF(C54=4,0.2,IF(C54=5,0.31,IF(C54=6,0.44,"N/A"))))</f>
        <v>0.44</v>
      </c>
      <c r="D55">
        <f t="shared" si="1"/>
        <v>0.44</v>
      </c>
      <c r="E55">
        <f t="shared" si="1"/>
        <v>0.44</v>
      </c>
      <c r="F55">
        <f t="shared" si="1"/>
        <v>0.44</v>
      </c>
      <c r="G55">
        <f t="shared" si="1"/>
        <v>0.2</v>
      </c>
      <c r="H55">
        <f t="shared" si="1"/>
        <v>0.2</v>
      </c>
    </row>
    <row r="56" spans="2:8" ht="12">
      <c r="B56" t="s">
        <v>99</v>
      </c>
      <c r="C56">
        <f>IF((0.75*H4)&gt;24,24,(0.75*H4))</f>
        <v>22.5</v>
      </c>
      <c r="D56">
        <f>IF((0.75*H4)&gt;24,24,(0.75*H4))</f>
        <v>22.5</v>
      </c>
      <c r="E56">
        <f>IF((0.75*H4)&gt;24,24,(0.75*H4))</f>
        <v>22.5</v>
      </c>
      <c r="F56">
        <f>IF((0.75*H4)&gt;24,24,(0.75*H4))</f>
        <v>22.5</v>
      </c>
      <c r="G56">
        <f>IF((0.75*H4)&gt;24,24,(0.75*H4))</f>
        <v>22.5</v>
      </c>
      <c r="H56">
        <f>IF((0.75*H4)&gt;24,24,(0.75*H4))</f>
        <v>22.5</v>
      </c>
    </row>
    <row r="57" spans="1:19" ht="12">
      <c r="A57" t="s">
        <v>100</v>
      </c>
      <c r="B57" t="s">
        <v>101</v>
      </c>
      <c r="C57">
        <f aca="true" t="shared" si="2" ref="C57:H57">IF(C53="   MIN",C56,IF(C53="   N/R",C56,ROUND((((C55*2)*60*N57))/((C47/0.85)-(IF(C50&lt;C51,C51,(IF(C50&gt;C52,C52,C50))))),2)))</f>
        <v>22.5</v>
      </c>
      <c r="D57">
        <f t="shared" si="2"/>
        <v>22.5</v>
      </c>
      <c r="E57">
        <f t="shared" si="2"/>
        <v>22.5</v>
      </c>
      <c r="F57">
        <f t="shared" si="2"/>
        <v>22.5</v>
      </c>
      <c r="G57">
        <f t="shared" si="2"/>
        <v>22.5</v>
      </c>
      <c r="H57">
        <f t="shared" si="2"/>
        <v>22.5</v>
      </c>
      <c r="M57" t="s">
        <v>102</v>
      </c>
      <c r="N57">
        <f>IF(C49&lt;(0.8*H4),(0.8*H4),C49)</f>
        <v>27.23</v>
      </c>
      <c r="O57">
        <f>IF(D49&lt;(0.8*H4),(0.8*H4),D49)</f>
        <v>24</v>
      </c>
      <c r="P57">
        <f>IF(E49&lt;(0.8*H4),(0.8*H4),E49)</f>
        <v>24</v>
      </c>
      <c r="Q57">
        <f>IF(F49&lt;(0.8*H4),(0.8*H4),F49)</f>
        <v>24</v>
      </c>
      <c r="R57">
        <f>IF(G49&lt;(0.8*H4),(0.8*H4),G49)</f>
        <v>24</v>
      </c>
      <c r="S57">
        <f>IF(H49&lt;(0.8*H4),(0.8*H4),H49)</f>
        <v>26.66</v>
      </c>
    </row>
    <row r="58" spans="1:19" ht="12">
      <c r="A58" t="s">
        <v>103</v>
      </c>
      <c r="B58" t="s">
        <v>104</v>
      </c>
      <c r="C58" t="str">
        <f aca="true" t="shared" si="3" ref="C58:H58">IF(0.85*(IF(C50&lt;C51,C51,(IF(C50&gt;C52,C52,C50))))&lt;C47,N58,(IF(0.425*(IF(C50&lt;C51,C51,(IF(C50&gt;C52,C52,C50))))&lt;C47,N58,"   N/A")))</f>
        <v>   N/A</v>
      </c>
      <c r="D58" t="str">
        <f t="shared" si="3"/>
        <v>   N/A</v>
      </c>
      <c r="E58" t="str">
        <f t="shared" si="3"/>
        <v>   N/A</v>
      </c>
      <c r="F58" t="str">
        <f t="shared" si="3"/>
        <v>   N/A</v>
      </c>
      <c r="G58" t="str">
        <f t="shared" si="3"/>
        <v>   N/A</v>
      </c>
      <c r="H58" t="str">
        <f t="shared" si="3"/>
        <v>   N/A</v>
      </c>
      <c r="I58" t="s">
        <v>105</v>
      </c>
      <c r="M58" t="s">
        <v>106</v>
      </c>
      <c r="N58">
        <f>((D13*E15)/80)*(270/60)*(C57/N57)*(SQRT((N57/E27)))</f>
        <v>0.048205272895462066</v>
      </c>
      <c r="O58">
        <f>((D13*E15)/80)*(270/60)*(D57/O57)*(SQRT((O57/E27)))</f>
        <v>0.051346724644012985</v>
      </c>
      <c r="P58">
        <f>((D13*E15)/80)*(270/60)*(E57/P57)*(SQRT((P57/E27)))</f>
        <v>0.051346724644012985</v>
      </c>
      <c r="Q58">
        <f>((D13*E15)/80)*(270/60)*(F57/Q57)*(SQRT((Q57/E27)))</f>
        <v>0.051346724644012985</v>
      </c>
      <c r="R58">
        <f>((D13*E15)/80)*(270/60)*(G57/R57)*(SQRT((R57/E27)))</f>
        <v>0.051346724644012985</v>
      </c>
      <c r="S58">
        <f>((D13*E15)/80)*(270/60)*(H57/S57)*(SQRT((S57/E27)))</f>
        <v>0.048717870193804</v>
      </c>
    </row>
    <row r="59" spans="1:8" ht="12">
      <c r="A59" t="s">
        <v>107</v>
      </c>
      <c r="C59" s="3" t="s">
        <v>108</v>
      </c>
      <c r="D59" s="3" t="s">
        <v>108</v>
      </c>
      <c r="E59" s="3" t="s">
        <v>108</v>
      </c>
      <c r="F59" s="3" t="s">
        <v>108</v>
      </c>
      <c r="G59" s="3" t="s">
        <v>108</v>
      </c>
      <c r="H59" s="3" t="s">
        <v>108</v>
      </c>
    </row>
    <row r="60" spans="2:8" ht="12">
      <c r="B60" t="s">
        <v>109</v>
      </c>
      <c r="C60">
        <f aca="true" t="shared" si="4" ref="C60:H60">((C55*2)*60*N57)/C57</f>
        <v>63.89973333333333</v>
      </c>
      <c r="D60">
        <f t="shared" si="4"/>
        <v>56.31999999999999</v>
      </c>
      <c r="E60">
        <f t="shared" si="4"/>
        <v>56.31999999999999</v>
      </c>
      <c r="F60">
        <f t="shared" si="4"/>
        <v>56.31999999999999</v>
      </c>
      <c r="G60">
        <f t="shared" si="4"/>
        <v>25.6</v>
      </c>
      <c r="H60">
        <f t="shared" si="4"/>
        <v>28.437333333333335</v>
      </c>
    </row>
    <row r="61" spans="2:8" ht="12">
      <c r="B61" t="s">
        <v>110</v>
      </c>
      <c r="C61">
        <f aca="true" t="shared" si="5" ref="C61:H61">0.85*(C60+(IF(C50&lt;C51,C51,(IF(C50&gt;C52,C52,C50)))))</f>
        <v>337.3512690672003</v>
      </c>
      <c r="D61">
        <f t="shared" si="5"/>
        <v>320.7939664681882</v>
      </c>
      <c r="E61">
        <f t="shared" si="5"/>
        <v>357.5222284836876</v>
      </c>
      <c r="F61">
        <f t="shared" si="5"/>
        <v>318.1469423643679</v>
      </c>
      <c r="G61">
        <f t="shared" si="5"/>
        <v>150.81853473511566</v>
      </c>
      <c r="H61">
        <f t="shared" si="5"/>
        <v>161.75965152291855</v>
      </c>
    </row>
    <row r="64" spans="3:9" ht="12">
      <c r="C64" t="s">
        <v>111</v>
      </c>
      <c r="H64" t="s">
        <v>84</v>
      </c>
      <c r="I64" s="1" t="s">
        <v>112</v>
      </c>
    </row>
    <row r="65" ht="12">
      <c r="B65" t="s">
        <v>3</v>
      </c>
    </row>
    <row r="66" spans="2:8" ht="12">
      <c r="B66" t="s">
        <v>86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</row>
    <row r="67" spans="2:8" ht="12">
      <c r="B67" t="s">
        <v>87</v>
      </c>
      <c r="C67" s="1">
        <v>2.25</v>
      </c>
      <c r="D67" s="1">
        <v>2.5</v>
      </c>
      <c r="E67" s="1">
        <v>5</v>
      </c>
      <c r="F67" s="1">
        <v>7.5</v>
      </c>
      <c r="G67" s="1">
        <v>10</v>
      </c>
      <c r="H67" s="1">
        <v>12.5</v>
      </c>
    </row>
    <row r="68" spans="2:8" ht="12">
      <c r="B68" t="s">
        <v>88</v>
      </c>
      <c r="C68" s="1">
        <v>85.26</v>
      </c>
      <c r="D68" s="1">
        <v>84.56</v>
      </c>
      <c r="E68" s="1">
        <v>77.84</v>
      </c>
      <c r="F68" s="1">
        <v>71.09</v>
      </c>
      <c r="G68" s="1">
        <v>64.34</v>
      </c>
      <c r="H68" s="1">
        <v>57.59</v>
      </c>
    </row>
    <row r="69" spans="2:8" ht="12">
      <c r="B69" t="s">
        <v>113</v>
      </c>
      <c r="C69" s="1">
        <v>-95.76</v>
      </c>
      <c r="D69" s="1">
        <v>-81.19</v>
      </c>
      <c r="E69" s="1">
        <v>58.27</v>
      </c>
      <c r="F69" s="1">
        <v>185.92</v>
      </c>
      <c r="G69" s="1">
        <v>301.79</v>
      </c>
      <c r="H69" s="1">
        <v>405.84</v>
      </c>
    </row>
    <row r="70" spans="2:9" ht="12">
      <c r="B70" t="s">
        <v>114</v>
      </c>
      <c r="C70" s="1">
        <v>375.78</v>
      </c>
      <c r="D70" s="1">
        <v>375.78</v>
      </c>
      <c r="E70" s="1">
        <v>375.78</v>
      </c>
      <c r="F70" s="1">
        <v>375.78</v>
      </c>
      <c r="G70" s="1">
        <v>375.78</v>
      </c>
      <c r="H70" s="1">
        <v>375.78</v>
      </c>
      <c r="I70" s="1" t="s">
        <v>19</v>
      </c>
    </row>
    <row r="71" spans="1:8" ht="12">
      <c r="A71" t="s">
        <v>115</v>
      </c>
      <c r="B71" t="s">
        <v>116</v>
      </c>
      <c r="C71" s="1">
        <v>47.13</v>
      </c>
      <c r="D71" s="1">
        <v>34.74</v>
      </c>
      <c r="E71" s="1">
        <v>-72.36</v>
      </c>
      <c r="F71" s="1">
        <v>-148.86</v>
      </c>
      <c r="G71" s="1">
        <v>-194.76</v>
      </c>
      <c r="H71" s="1">
        <v>-210.36</v>
      </c>
    </row>
    <row r="72" spans="2:8" ht="12">
      <c r="B72" t="s">
        <v>117</v>
      </c>
      <c r="C72" s="1">
        <v>1587</v>
      </c>
      <c r="D72" s="1">
        <v>1587</v>
      </c>
      <c r="E72" s="1">
        <v>1587</v>
      </c>
      <c r="F72" s="1">
        <v>1587</v>
      </c>
      <c r="G72" s="1">
        <v>1587</v>
      </c>
      <c r="H72" s="1">
        <v>1587</v>
      </c>
    </row>
    <row r="73" spans="2:8" ht="12">
      <c r="B73" t="s">
        <v>118</v>
      </c>
      <c r="C73" s="1">
        <v>198</v>
      </c>
      <c r="D73" s="1">
        <v>198</v>
      </c>
      <c r="E73" s="1">
        <v>198</v>
      </c>
      <c r="F73" s="1">
        <v>198</v>
      </c>
      <c r="G73" s="1">
        <v>198</v>
      </c>
      <c r="H73" s="1">
        <v>198</v>
      </c>
    </row>
    <row r="74" spans="2:8" ht="12">
      <c r="B74" t="s">
        <v>119</v>
      </c>
      <c r="C74" s="1">
        <v>45</v>
      </c>
      <c r="D74" s="1">
        <v>45</v>
      </c>
      <c r="E74" s="1">
        <v>45</v>
      </c>
      <c r="F74" s="1">
        <v>45</v>
      </c>
      <c r="G74" s="1">
        <v>45</v>
      </c>
      <c r="H74" s="1">
        <v>45</v>
      </c>
    </row>
    <row r="75" spans="2:8" ht="12">
      <c r="B75" t="s">
        <v>120</v>
      </c>
      <c r="C75" s="1">
        <v>25</v>
      </c>
      <c r="D75" s="1">
        <v>25</v>
      </c>
      <c r="E75" s="1">
        <v>25</v>
      </c>
      <c r="F75" s="1">
        <v>25</v>
      </c>
      <c r="G75" s="1">
        <v>25</v>
      </c>
      <c r="H75" s="1">
        <v>25</v>
      </c>
    </row>
    <row r="76" spans="2:8" ht="12">
      <c r="B76" t="s">
        <v>121</v>
      </c>
      <c r="C76">
        <f aca="true" t="shared" si="6" ref="C76:H76">C74*C75</f>
        <v>1125</v>
      </c>
      <c r="D76">
        <f t="shared" si="6"/>
        <v>1125</v>
      </c>
      <c r="E76">
        <f t="shared" si="6"/>
        <v>1125</v>
      </c>
      <c r="F76">
        <f t="shared" si="6"/>
        <v>1125</v>
      </c>
      <c r="G76">
        <f t="shared" si="6"/>
        <v>1125</v>
      </c>
      <c r="H76">
        <f t="shared" si="6"/>
        <v>1125</v>
      </c>
    </row>
    <row r="77" spans="2:8" ht="12">
      <c r="B77" t="s">
        <v>122</v>
      </c>
      <c r="C77">
        <f aca="true" t="shared" si="7" ref="C77:H77">(2*C74)+(2*C75)</f>
        <v>140</v>
      </c>
      <c r="D77">
        <f t="shared" si="7"/>
        <v>140</v>
      </c>
      <c r="E77">
        <f t="shared" si="7"/>
        <v>140</v>
      </c>
      <c r="F77">
        <f t="shared" si="7"/>
        <v>140</v>
      </c>
      <c r="G77">
        <f t="shared" si="7"/>
        <v>140</v>
      </c>
      <c r="H77">
        <f t="shared" si="7"/>
        <v>140</v>
      </c>
    </row>
    <row r="78" spans="2:21" ht="12">
      <c r="B78" t="s">
        <v>90</v>
      </c>
      <c r="C78" s="1">
        <v>16.2</v>
      </c>
      <c r="D78" s="1">
        <v>16.1</v>
      </c>
      <c r="E78" s="1">
        <v>20.28</v>
      </c>
      <c r="F78" s="1">
        <v>24.43</v>
      </c>
      <c r="G78" s="1">
        <v>26.92</v>
      </c>
      <c r="H78" s="1">
        <v>27.75</v>
      </c>
      <c r="M78" t="s">
        <v>123</v>
      </c>
      <c r="N78" t="s">
        <v>124</v>
      </c>
      <c r="P78">
        <f>IF(C78&lt;(0.8*H4),(0.8*H4),C78)</f>
        <v>24</v>
      </c>
      <c r="Q78">
        <f>IF(D78&lt;(0.8*H4),(0.8*H4),D78)</f>
        <v>24</v>
      </c>
      <c r="R78">
        <f>IF(E78&lt;(0.8*H4),(0.8*H4),E78)</f>
        <v>24</v>
      </c>
      <c r="S78">
        <f>IF(F78&lt;(0.8*H4),(0.8*H4),F78)</f>
        <v>24.43</v>
      </c>
      <c r="T78">
        <f>IF(G78&lt;(0.8*H4),(0.8*H4),G78)</f>
        <v>26.92</v>
      </c>
      <c r="U78">
        <f>IF(H78&lt;(0.8*H4),(0.8*H4),H78)</f>
        <v>27.75</v>
      </c>
    </row>
    <row r="79" spans="2:29" ht="12">
      <c r="B79" t="s">
        <v>125</v>
      </c>
      <c r="C79" s="1">
        <v>0</v>
      </c>
      <c r="D79" s="1">
        <v>0</v>
      </c>
      <c r="E79" s="1">
        <v>6.53</v>
      </c>
      <c r="F79" s="1">
        <v>10.68</v>
      </c>
      <c r="G79" s="1">
        <v>13.17</v>
      </c>
      <c r="H79" s="1">
        <v>14</v>
      </c>
      <c r="N79" t="s">
        <v>126</v>
      </c>
      <c r="O79" t="s">
        <v>127</v>
      </c>
      <c r="P79">
        <f>(D13*E15*C81)+(C82*60)</f>
        <v>477.294</v>
      </c>
      <c r="Q79">
        <f>(D13*E15*D81)+(D82*60)</f>
        <v>477.102</v>
      </c>
      <c r="R79">
        <f>(D13*E15*E81)+(E82*60)</f>
        <v>507.03</v>
      </c>
      <c r="S79">
        <f>(D13*E15*F81)+(F82*60)</f>
        <v>519.48</v>
      </c>
      <c r="T79">
        <f>(D13*E15*G81)+(G82*60)</f>
        <v>526.95</v>
      </c>
      <c r="U79">
        <f>(D13*E15*H81)+(H82*60)</f>
        <v>529.4399999999999</v>
      </c>
      <c r="W79" t="s">
        <v>128</v>
      </c>
      <c r="X79">
        <f>(D13*E15*C81)+(C82*60)-(0.85*(D9/1000)*(E28-E27)*E32)</f>
        <v>-165.30600000000004</v>
      </c>
      <c r="Y79">
        <f>(D13*E15*D81)+(D82*60)-(0.85*(D9/1000)*(E28-E27)*E32)</f>
        <v>-165.49800000000005</v>
      </c>
      <c r="Z79">
        <f>(D13*E15*E81)+(E82*60)-(0.85*(D9/1000)*(E28-E27)*E32)</f>
        <v>-135.57000000000005</v>
      </c>
      <c r="AA79">
        <f>(D13*E15*F81)+(F82*60)-(0.85*(D9/1000)*(E28-E27)*E32)</f>
        <v>-123.12</v>
      </c>
      <c r="AB79">
        <f>(D13*E15*G81)+(G82*60)-(0.85*(D9/1000)*(E28-E27)*E32)</f>
        <v>-115.64999999999998</v>
      </c>
      <c r="AC79">
        <f>(D13*E15*H81)+(H82*60)-(0.85*(D9/1000)*(E28-E27)*E32)</f>
        <v>-113.16000000000008</v>
      </c>
    </row>
    <row r="80" spans="2:29" ht="12">
      <c r="B80" t="s">
        <v>129</v>
      </c>
      <c r="C80" s="1">
        <v>30.313</v>
      </c>
      <c r="D80" s="1">
        <v>30.313</v>
      </c>
      <c r="E80" s="1">
        <v>30.313</v>
      </c>
      <c r="F80" s="1">
        <v>30.313</v>
      </c>
      <c r="G80" s="1">
        <v>30.313</v>
      </c>
      <c r="H80" s="1">
        <v>30.313</v>
      </c>
      <c r="N80" t="s">
        <v>130</v>
      </c>
      <c r="P80">
        <f>IF(C69&gt;0,(P79*1000)/(0.85*D9*E28),(P79*1000/(0.85*D9*E27)))</f>
        <v>2.9245955882352943</v>
      </c>
      <c r="Q80">
        <f>IF(D69&gt;0,(Q79*1000)/(0.85*D9*E28),(Q79*1000/(0.85*D9*E27)))</f>
        <v>2.9234191176470588</v>
      </c>
      <c r="R80">
        <f>IF(E69&gt;0,(R79*1000)/(0.85*D9*E28),(R79*1000/(0.85*D9*E27)))</f>
        <v>1.9883529411764707</v>
      </c>
      <c r="S80">
        <f>IF(F69&gt;0,(S79*1000)/(0.85*D9*E28),(S79*1000/(0.85*D9*E27)))</f>
        <v>2.037176470588235</v>
      </c>
      <c r="T80">
        <f>IF(G69&gt;0,(T79*1000)/(0.85*D9*E28),(T79*1000/(0.85*D9*E27)))</f>
        <v>2.066470588235294</v>
      </c>
      <c r="U80">
        <f>IF(H69&gt;0,(U79*1000)/(0.85*D9*E28),(U79*1000/(0.85*D9*E27)))</f>
        <v>2.0762352941176467</v>
      </c>
      <c r="W80" t="s">
        <v>131</v>
      </c>
      <c r="X80">
        <f>(X79*1000)/(0.85*D9*E27)</f>
        <v>-1.0129044117647061</v>
      </c>
      <c r="Y80">
        <f>(Y79*1000)/(0.85*D9*E27)</f>
        <v>-1.0140808823529415</v>
      </c>
      <c r="Z80">
        <f>(Z79*1000)/(0.85*D9*E27)</f>
        <v>-0.830698529411765</v>
      </c>
      <c r="AA80">
        <f>(AA79*1000)/(0.85*D9*E27)</f>
        <v>-0.7544117647058823</v>
      </c>
      <c r="AB80">
        <f>(AB79*1000)/(0.85*D9*E27)</f>
        <v>-0.7086397058823528</v>
      </c>
      <c r="AC80">
        <f>(AC79*1000)/(0.85*D9*E27)</f>
        <v>-0.693382352941177</v>
      </c>
    </row>
    <row r="81" spans="2:29" ht="12">
      <c r="B81" t="s">
        <v>132</v>
      </c>
      <c r="C81">
        <f>IF(I26&lt;=35,(D12/D13)+10+((D9/(100*(IF(C69&gt;0,(D13*E15)/(E28*C78),(D13*E15)/(E27*C78)))))/1000),D36+10+((D9/(300*(IF(C69&gt;0,(D13*E15)/(E28*C78),(D13*E15)/(E27*C78)))))/1000))</f>
        <v>193.24183006535947</v>
      </c>
      <c r="D81">
        <f>IF(I26&lt;=35,(D12/D13)+10+((D9/(100*(IF(D69&gt;0,(D13*E15)/(E28*D78),(D13*E15)/(E27*D78)))))/1000),D36+10+((D9/(300*(IF(D69&gt;0,(D13*E15)/(E28*D78),(D13*E15)/(E27*D78)))))/1000))</f>
        <v>193.1023965141612</v>
      </c>
      <c r="E81">
        <f>IF(I26&lt;=35,(D12/D13)+10+((D9/(100*(IF(E69&gt;0,(D13*E15)/(E28*E78),(D13*E15)/(E27*E78)))))/1000),D36+10+((D9/(300*(IF(E69&gt;0,(D13*E15)/(E28*E78),(D13*E15)/(E27*E78)))))/1000))</f>
        <v>214.83660130718954</v>
      </c>
      <c r="F81">
        <f>IF(I26&lt;=35,(D12/D13)+10+((D9/(100*(IF(F69&gt;0,(D13*E15)/(E28*F78),(D13*E15)/(E27*F78)))))/1000),D36+10+((D9/(300*(IF(F69&gt;0,(D13*E15)/(E28*F78),(D13*E15)/(E27*F78)))))/1000))</f>
        <v>223.8779956427015</v>
      </c>
      <c r="G81">
        <f>IF(I26&lt;=35,(D12/D13)+10+((D9/(100*(IF(G69&gt;0,(D13*E15)/(E28*G78),(D13*E15)/(E27*G78)))))/1000),D36+10+((D9/(300*(IF(G69&gt;0,(D13*E15)/(E28*G78),(D13*E15)/(E27*G78)))))/1000))</f>
        <v>229.3028322440087</v>
      </c>
      <c r="H81">
        <f>IF(I26&lt;=35,(D12/D13)+10+((D9/(100*(IF(H69&gt;0,(D13*E15)/(E28*H78),(D13*E15)/(E27*H78)))))/1000),D36+10+((D9/(300*(IF(H69&gt;0,(D13*E15)/(E28*H78),(D13*E15)/(E27*H78)))))/1000))</f>
        <v>231.1111111111111</v>
      </c>
      <c r="N81" t="s">
        <v>133</v>
      </c>
      <c r="P81">
        <f>IF(P80&gt;E32,X81,((0.9*((D13*E15*C81*(C78-(P80/2)))+(C82*60*(C83-(P80/2)))))/12))</f>
        <v>706.5582627490809</v>
      </c>
      <c r="Q81">
        <f>IF(Q80&gt;E32,Y81,((0.9*((D13*E15*D81*(D78-(Q80/2)))+(D82*60*(D83-(Q80/2)))))/12))</f>
        <v>704.3728234549634</v>
      </c>
      <c r="R81">
        <f>IF(R80&gt;E32,Z81,((0.9*((D13*E15*E81*(E78-(R80/2)))+(E82*60*(E83-(R80/2)))))/12))</f>
        <v>847.7516328088236</v>
      </c>
      <c r="S81">
        <f>IF(S80&gt;E32,AA81,((0.9*((D13*E15*F81*(F78-(S80/2)))+(F82*60*(F83-(S80/2)))))/12))</f>
        <v>960.7608137647057</v>
      </c>
      <c r="T81">
        <f>IF(T80&gt;E32,AB81,((0.9*((D13*E15*G81*(G78-(T80/2)))+(G82*60*(G83-(T80/2)))))/12))</f>
        <v>1032.2644996323531</v>
      </c>
      <c r="U81">
        <f>IF(U80&gt;E32,AC81,((0.9*((D13*E15*H81*(H78-(U80/2)))+(H82*60*(H83-(U80/2)))))/12))</f>
        <v>1056.7154244705882</v>
      </c>
      <c r="W81" t="s">
        <v>134</v>
      </c>
      <c r="X81">
        <f>(0.9*((X79*(C78-(X80/2)))+(C82*60*(C83-C78))+(0.85*(D9/1000)*(E28-E27)*E32*(C78-(E32/2)))))/12</f>
        <v>583.9427408740808</v>
      </c>
      <c r="Y81">
        <f>(0.9*((Y79*(D78-(Y80/2)))+(D82*60*(D83-D78))+(0.85*(D9/1000)*(E28-E27)*E32*(D78-(E32/2)))))/12</f>
        <v>581.7006015799633</v>
      </c>
      <c r="Z81">
        <f>(0.9*((Z79*(E78-(Z80/2)))+(E82*60*(E83-E78))+(0.85*(D9/1000)*(E28-E27)*E32*(E78-(E32/2)))))/12</f>
        <v>712.6517625137867</v>
      </c>
      <c r="AA81">
        <f>(0.9*((AA79*(F78-(AA80/2)))+(F82*60*(F83-F78))+(0.85*(D9/1000)*(E28-E27)*E32*(F78-(E32/2)))))/12</f>
        <v>828.280410882353</v>
      </c>
      <c r="AB81">
        <f>(0.9*((AB79*(G78-(AB80/2)))+(G82*60*(G83-G78))+(0.85*(D9/1000)*(E28-E27)*E32*(G78-(E32/2)))))/12</f>
        <v>901.3434681755516</v>
      </c>
      <c r="AC81">
        <f>(0.9*((AC79*(H78-(AC80/2)))+(H82*60*(H83-H78))+(0.85*(D9/1000)*(E28-E27)*E32*(H78-(E32/2)))))/12</f>
        <v>926.3121319852941</v>
      </c>
    </row>
    <row r="82" spans="2:8" ht="12">
      <c r="B82" t="s">
        <v>135</v>
      </c>
      <c r="C82" s="1">
        <v>3.52</v>
      </c>
      <c r="D82" s="1">
        <v>3.52</v>
      </c>
      <c r="E82" s="1">
        <v>3.52</v>
      </c>
      <c r="F82" s="1">
        <v>3.52</v>
      </c>
      <c r="G82" s="1">
        <v>3.52</v>
      </c>
      <c r="H82" s="1">
        <v>3.52</v>
      </c>
    </row>
    <row r="83" spans="2:8" ht="12">
      <c r="B83" t="s">
        <v>136</v>
      </c>
      <c r="C83" s="1">
        <v>27.5</v>
      </c>
      <c r="D83" s="1">
        <v>27.5</v>
      </c>
      <c r="E83" s="1">
        <v>27.5</v>
      </c>
      <c r="F83" s="1">
        <v>27.5</v>
      </c>
      <c r="G83" s="1">
        <v>27.5</v>
      </c>
      <c r="H83" s="1">
        <v>27.5</v>
      </c>
    </row>
    <row r="84" spans="2:8" ht="12">
      <c r="B84" t="s">
        <v>89</v>
      </c>
      <c r="C84" s="1">
        <f>(C69*E26)+(IF(C69&gt;0,(((C79/12)*D12*E15)+(C71)),((C71)-((C79/12)*D12*E15))))</f>
        <v>-92.67960000000002</v>
      </c>
      <c r="D84" s="1">
        <f>(D69*E26)+(IF(D69&gt;0,(((D79/12)*D12*E15)+(D71)),((D71)-((D79/12)*D12*E15))))</f>
        <v>-83.79739999999998</v>
      </c>
      <c r="E84" s="1">
        <f>(E69*E26)+(IF(E69&gt;0,(((E79/12)*D12*E15)+(E71)),((E71)-((E79/12)*D12*E15))))</f>
        <v>133.09475</v>
      </c>
      <c r="F84" s="1">
        <f>(F69*E26)+(IF(F69&gt;0,(((F79/12)*D12*E15)+(F71)),((F71)-((F79/12)*D12*E15))))</f>
        <v>319.46899999999994</v>
      </c>
      <c r="G84" s="1">
        <f>(G69*E26)+(IF(G69&gt;0,(((G79/12)*D12*E15)+(G71)),((G71)-((G79/12)*D12*E15))))</f>
        <v>488.64234999999996</v>
      </c>
      <c r="H84" s="1">
        <f>(H69*E26)+(IF(H69&gt;0,(((H79/12)*D12*E15)+(H71)),((H71)-((H79/12)*D12*E15))))</f>
        <v>640.2564</v>
      </c>
    </row>
    <row r="85" spans="1:8" ht="12">
      <c r="A85" t="s">
        <v>137</v>
      </c>
      <c r="B85" t="s">
        <v>138</v>
      </c>
      <c r="C85">
        <f>IF(C69&gt;0,P81,((-0.9*((D13*E15*C81*(C78-(P80/2)))+(C82*60*(C83-(P80/2)))))/12))</f>
        <v>-706.5582627490809</v>
      </c>
      <c r="D85">
        <f>IF(D69&gt;0,Q81,((-0.9*((D13*E15*D81*(D78-(Q80/2)))+(D82*60*(D83-(Q80/2)))))/12))</f>
        <v>-704.3728234549634</v>
      </c>
      <c r="E85">
        <f>IF(E69&gt;0,R81,((-0.9*((D13*E15*E81*(E78-(R80/2)))+(E82*60*(E83-(R80/2)))))/12))</f>
        <v>847.7516328088236</v>
      </c>
      <c r="F85">
        <f>IF(F69&gt;0,S81,((-0.9*((D13*E15*F81*(F78-(S80/2)))+(F82*60*(F83-(S80/2)))))/12))</f>
        <v>960.7608137647057</v>
      </c>
      <c r="G85">
        <f>IF(G69&gt;0,T81,((-0.9*((D13*E15*G81*(G78-(T80/2)))+(G82*60*(G83-(T80/2)))))/12))</f>
        <v>1032.2644996323531</v>
      </c>
      <c r="H85">
        <f>IF(H69&gt;0,U81,((-0.9*((D13*E15*H81*(H78-(U80/2)))+(H82*60*(H83-(U80/2)))))/12))</f>
        <v>1056.7154244705882</v>
      </c>
    </row>
    <row r="86" spans="1:8" ht="12">
      <c r="A86" t="s">
        <v>139</v>
      </c>
      <c r="B86" t="s">
        <v>140</v>
      </c>
      <c r="C86">
        <f>1.2*(((IF(C69&lt;0,-D6,D5))/12000)*((7.5*(SQRT(D9)))+((((D12*E15)/D7)+(((ABS(C71))*12)/(IF(C69&lt;0,D6,D5))))*1000)))</f>
        <v>-548.9106953383897</v>
      </c>
      <c r="D86">
        <f>1.2*(((IF(D69&lt;0,-D6,D5))/12000)*((7.5*(SQRT(D9)))+((((D12*E15)/D7)+(((ABS(D71))*12)/(IF(D69&lt;0,D6,D5))))*1000)))</f>
        <v>-534.0426953383896</v>
      </c>
      <c r="E86">
        <f>1.2*(((IF(E69&lt;0,-D6,D5))/12000)*((7.5*(SQRT(D9)))+((((D12*E15)/D7)+(((ABS(E71))*12)/(IF(E69&lt;0,D6,D5))))*1000)))</f>
        <v>498.9895317529408</v>
      </c>
      <c r="F86">
        <f>1.2*(((IF(F69&lt;0,-D6,D5))/12000)*((7.5*(SQRT(D9)))+((((D12*E15)/D7)+(((ABS(F71))*12)/(IF(F69&lt;0,D6,D5))))*1000)))</f>
        <v>590.7895317529408</v>
      </c>
      <c r="G86">
        <f>1.2*(((IF(G69&lt;0,-D6,D5))/12000)*((7.5*(SQRT(D9)))+((((D12*E15)/D7)+(((ABS(G71))*12)/(IF(G69&lt;0,D6,D5))))*1000)))</f>
        <v>645.8695317529408</v>
      </c>
      <c r="H86">
        <f>1.2*(((IF(H69&lt;0,-D6,D5))/12000)*((7.5*(SQRT(D9)))+((((D12*E15)/D7)+(((ABS(H71))*12)/(IF(H69&lt;0,D6,D5))))*1000)))</f>
        <v>664.5895317529408</v>
      </c>
    </row>
    <row r="87" spans="1:9" ht="12">
      <c r="A87" t="s">
        <v>141</v>
      </c>
      <c r="C87" t="str">
        <f aca="true" t="shared" si="8" ref="C87:H87">IF((ABS(C85))&lt;(ABS(C86)),IF(ABS(C85)&gt;ABS(2*C84),"NO","YES"),"NO")</f>
        <v>NO</v>
      </c>
      <c r="D87" t="str">
        <f t="shared" si="8"/>
        <v>NO</v>
      </c>
      <c r="E87" t="str">
        <f t="shared" si="8"/>
        <v>NO</v>
      </c>
      <c r="F87" t="str">
        <f t="shared" si="8"/>
        <v>NO</v>
      </c>
      <c r="G87" t="str">
        <f t="shared" si="8"/>
        <v>NO</v>
      </c>
      <c r="H87" t="str">
        <f t="shared" si="8"/>
        <v>NO</v>
      </c>
      <c r="I87" t="s">
        <v>142</v>
      </c>
    </row>
    <row r="88" spans="1:9" ht="12">
      <c r="A88" t="s">
        <v>143</v>
      </c>
      <c r="B88" t="s">
        <v>144</v>
      </c>
      <c r="C88">
        <f>0.85*0.67*(((C72^2)/C73)*(4*(SQRT(D9)))*(SQRT(1+((((D12*E15)/D7)*1000)/(4*(SQRT(D9)))))))/12000</f>
        <v>189.32150574534643</v>
      </c>
      <c r="D88">
        <f>0.85*0.67*(((D72^2)/D73)*(4*(SQRT(D9)))*(SQRT(1+((((D12*E15)/D7)*1000)/(4*(SQRT(D9)))))))/12000</f>
        <v>189.32150574534643</v>
      </c>
      <c r="E88">
        <f>0.85*0.67*(((E72^2)/E73)*(4*(SQRT(D9)))*(SQRT(1+((((D12*E15)/D7)*1000)/(4*(SQRT(D9)))))))/12000</f>
        <v>189.32150574534643</v>
      </c>
      <c r="F88">
        <f>0.85*0.67*(((F72^2)/F73)*(4*(SQRT(D9)))*(SQRT(1+((((D12*E15)/D7)*1000)/(4*(SQRT(D9)))))))/12000</f>
        <v>189.32150574534643</v>
      </c>
      <c r="G88">
        <f>0.85*0.67*(((G72^2)/G73)*(4*(SQRT(D9)))*(SQRT(1+((((D12*E15)/D7)*1000)/(4*(SQRT(D9)))))))/12000</f>
        <v>189.32150574534643</v>
      </c>
      <c r="H88">
        <f>0.85*0.67*(((H72^2)/H73)*(4*(SQRT(D9)))*(SQRT(1+((((D12*E15)/D7)*1000)/(4*(SQRT(D9)))))))/12000</f>
        <v>189.32150574534643</v>
      </c>
      <c r="I88" s="1" t="s">
        <v>29</v>
      </c>
    </row>
    <row r="89" spans="1:9" ht="12">
      <c r="A89" t="s">
        <v>145</v>
      </c>
      <c r="C89" t="str">
        <f aca="true" t="shared" si="9" ref="C89:H89">IF(C70&lt;C88,"NO","YES")</f>
        <v>YES</v>
      </c>
      <c r="D89" t="str">
        <f t="shared" si="9"/>
        <v>YES</v>
      </c>
      <c r="E89" t="str">
        <f t="shared" si="9"/>
        <v>YES</v>
      </c>
      <c r="F89" t="str">
        <f t="shared" si="9"/>
        <v>YES</v>
      </c>
      <c r="G89" t="str">
        <f t="shared" si="9"/>
        <v>YES</v>
      </c>
      <c r="H89" t="str">
        <f t="shared" si="9"/>
        <v>YES</v>
      </c>
      <c r="I89" t="s">
        <v>146</v>
      </c>
    </row>
    <row r="90" spans="2:8" ht="12">
      <c r="B90" t="s">
        <v>147</v>
      </c>
      <c r="C90">
        <f aca="true" t="shared" si="10" ref="C90:H90">(((C68/0.85)-C80)/(C74*C75))+(((C70/0.85)*12*C77)/(C76^2))</f>
        <v>0.6490549019607843</v>
      </c>
      <c r="D90">
        <f t="shared" si="10"/>
        <v>0.6483228758169934</v>
      </c>
      <c r="E90">
        <f t="shared" si="10"/>
        <v>0.6412954248366013</v>
      </c>
      <c r="F90">
        <f t="shared" si="10"/>
        <v>0.6342366013071895</v>
      </c>
      <c r="G90">
        <f t="shared" si="10"/>
        <v>0.6271777777777777</v>
      </c>
      <c r="H90">
        <f t="shared" si="10"/>
        <v>0.6201189542483659</v>
      </c>
    </row>
    <row r="91" spans="1:14" ht="12">
      <c r="A91" t="s">
        <v>148</v>
      </c>
      <c r="C91">
        <f>10+(83.75*(C90/(D9/1000)))</f>
        <v>23.58958700980392</v>
      </c>
      <c r="D91">
        <f>10+(83.75*(D90/(D9/1000)))</f>
        <v>23.574260212418302</v>
      </c>
      <c r="E91">
        <f>10+(83.75*(E90/(D9/1000)))</f>
        <v>23.42712295751634</v>
      </c>
      <c r="F91">
        <f>10+(83.75*(F90/(D9/1000)))</f>
        <v>23.27932883986928</v>
      </c>
      <c r="G91">
        <f>10+(83.75*(G90/(D9/1000)))</f>
        <v>23.13153472222222</v>
      </c>
      <c r="H91">
        <f>10+(83.75*(H90/(D9/1000)))</f>
        <v>22.98374060457516</v>
      </c>
      <c r="N91" s="1" t="s">
        <v>19</v>
      </c>
    </row>
    <row r="92" spans="1:8" ht="12">
      <c r="A92" t="s">
        <v>149</v>
      </c>
      <c r="C92">
        <f>80-(122.58*(C90/(D9/1000)))</f>
        <v>60.109712529411766</v>
      </c>
      <c r="D92">
        <f>80-(122.58*(D90/(D9/1000)))</f>
        <v>60.13214547058824</v>
      </c>
      <c r="E92">
        <f>80-(122.58*(E90/(D9/1000)))</f>
        <v>60.34750170588235</v>
      </c>
      <c r="F92">
        <f>80-(122.58*(F90/(D9/1000)))</f>
        <v>60.56381935294118</v>
      </c>
      <c r="G92">
        <f>80-(122.58*(G90/(D9/1000)))</f>
        <v>60.780137</v>
      </c>
      <c r="H92">
        <f>80-(122.58*(H90/(D9/1000)))</f>
        <v>60.996454647058826</v>
      </c>
    </row>
    <row r="93" spans="1:21" ht="12">
      <c r="A93" t="s">
        <v>150</v>
      </c>
      <c r="C93" t="str">
        <f aca="true" t="shared" si="11" ref="C93:H93">IF(C91&gt;C92,"YES","NO")</f>
        <v>NO</v>
      </c>
      <c r="D93" t="str">
        <f t="shared" si="11"/>
        <v>NO</v>
      </c>
      <c r="E93" t="str">
        <f t="shared" si="11"/>
        <v>NO</v>
      </c>
      <c r="F93" t="str">
        <f t="shared" si="11"/>
        <v>NO</v>
      </c>
      <c r="G93" t="str">
        <f t="shared" si="11"/>
        <v>NO</v>
      </c>
      <c r="H93" t="str">
        <f t="shared" si="11"/>
        <v>NO</v>
      </c>
      <c r="I93" t="s">
        <v>151</v>
      </c>
      <c r="N93" t="s">
        <v>152</v>
      </c>
      <c r="P93">
        <f aca="true" t="shared" si="12" ref="P93:U93">SQRT(1/(((C84/C68)/(C86/1.2))^2+(1/C95)^2+((C70/C68)/(C88/(0.85*0.67)))^2))</f>
        <v>72.94294069678035</v>
      </c>
      <c r="Q93">
        <f t="shared" si="12"/>
        <v>72.5133622738049</v>
      </c>
      <c r="R93">
        <f t="shared" si="12"/>
        <v>65.32796461576126</v>
      </c>
      <c r="S93">
        <f t="shared" si="12"/>
        <v>54.03718026206611</v>
      </c>
      <c r="T93">
        <f t="shared" si="12"/>
        <v>44.14892592987085</v>
      </c>
      <c r="U93">
        <f t="shared" si="12"/>
        <v>35.50624794085297</v>
      </c>
    </row>
    <row r="94" spans="1:21" ht="12">
      <c r="A94" t="s">
        <v>153</v>
      </c>
      <c r="C94">
        <f aca="true" t="shared" si="13" ref="C94:H94">(C91+C92)/2</f>
        <v>41.84964976960784</v>
      </c>
      <c r="D94">
        <f t="shared" si="13"/>
        <v>41.853202841503276</v>
      </c>
      <c r="E94">
        <f t="shared" si="13"/>
        <v>41.88731233169935</v>
      </c>
      <c r="F94">
        <f t="shared" si="13"/>
        <v>41.92157409640523</v>
      </c>
      <c r="G94">
        <f t="shared" si="13"/>
        <v>41.95583586111111</v>
      </c>
      <c r="H94">
        <f t="shared" si="13"/>
        <v>41.99009762581699</v>
      </c>
      <c r="I94" t="s">
        <v>154</v>
      </c>
      <c r="N94" t="s">
        <v>155</v>
      </c>
      <c r="P94">
        <f>(((60/29)*((C68/E26)/(C68/0.85)))^2)*(1-((60/29)*(((D12*E15)/D7)/(D9/1000))))*((1-((P93/(C68/E26))^3))^2)</f>
        <v>1.2144480912247766</v>
      </c>
      <c r="Q94">
        <f>(((60/29)*((D68/E26)/(D68/0.85)))^2)*(1-((60/29)*(((D12*E15)/D7)/(D9/1000))))*((1-((Q93/(D68/E26))^3))^2)</f>
        <v>1.2498075080144087</v>
      </c>
      <c r="R94">
        <f>(((60/29)*((E68/E26)/(E68/0.85)))^2)*(1-((60/29)*(((D12*E15)/D7)/(D9/1000))))*((1-((R93/(E68/E26))^3))^2)</f>
        <v>0.9511716783281021</v>
      </c>
      <c r="S94">
        <f>(((60/29)*((F68/E26)/(F68/0.85)))^2)*(1-((60/29)*(((D12*E15)/D7)/(D9/1000))))*((1-((S93/(F68/E26))^3))^2)</f>
        <v>0.18151504956515815</v>
      </c>
      <c r="T94">
        <f>(((60/29)*((G68/E26)/(G68/0.85)))^2)*(1-((60/29)*(((D12*E15)/D7)/(D9/1000))))*((1-((T93/(G68/E26))^3))^2)</f>
        <v>4.0592490309877206E-05</v>
      </c>
      <c r="U94">
        <f>(((60/29)*((H68/E26)/(H68/0.85)))^2)*(1-((60/29)*(((D12*E15)/D7)/(D9/1000))))*((1-((U93/(H68/E26))^3))^2)</f>
        <v>0.09882069181727454</v>
      </c>
    </row>
    <row r="95" spans="1:8" ht="12">
      <c r="A95" t="s">
        <v>156</v>
      </c>
      <c r="B95" t="s">
        <v>157</v>
      </c>
      <c r="C95">
        <f>(((E27*P78*(4*(SQRT(D9))))*(SQRT(1+((((D12*E15)/D7)*1000)/(4*(SQRT(D9)))))))/1000)+C80</f>
        <v>391.5991252891553</v>
      </c>
      <c r="D95">
        <f>(((E27*Q78*(4*(SQRT(D9))))*(SQRT(1+((((D12*E15)/D7)*1000)/(4*(SQRT(D9)))))))/1000)+D80</f>
        <v>391.5991252891553</v>
      </c>
      <c r="E95">
        <f>(((E27*R78*(4*(SQRT(D9))))*(SQRT(1+((((D12*E15)/D7)*1000)/(4*(SQRT(D9)))))))/1000)+E80</f>
        <v>391.5991252891553</v>
      </c>
      <c r="F95">
        <f>(((E27*S78*(4*(SQRT(D9))))*(SQRT(1+((((D12*E15)/D7)*1000)/(4*(SQRT(D9)))))))/1000)+F80</f>
        <v>398.0721683672527</v>
      </c>
      <c r="G95">
        <f>(((E27*T78*(4*(SQRT(D9))))*(SQRT(1+((((D12*E15)/D7)*1000)/(4*(SQRT(D9)))))))/1000)+G80</f>
        <v>435.55560386600257</v>
      </c>
      <c r="H95">
        <f>(((E27*U78*(4*(SQRT(D9))))*(SQRT(1+((((D12*E15)/D7)*1000)/(4*(SQRT(D9)))))))/1000)+H80</f>
        <v>448.0500823655858</v>
      </c>
    </row>
    <row r="96" spans="1:9" ht="12">
      <c r="A96" t="s">
        <v>150</v>
      </c>
      <c r="C96" t="str">
        <f>IF(P93&gt;(C68/E26),"N0*",(IF((TAN(C94/57.295))&gt;=P94,"NO*",(IF(((ATAN(P94))*57.2958)&lt;=C92,"*N0","YES*")))))</f>
        <v>N0*</v>
      </c>
      <c r="D96" t="str">
        <f>IF(Q93&gt;(D68/E26),"N0*",(IF((TAN(D94/57.295))&gt;=Q94,"NO*",(IF(((ATAN(Q94))*57.2958)&lt;=D92,"*N0","YES*")))))</f>
        <v>N0*</v>
      </c>
      <c r="E96" t="str">
        <f>IF(R93&gt;(E68/E26),"N0*",(IF((TAN(E94/57.295))&gt;=R94,"NO*",(IF(((ATAN(R94))*57.2958)&lt;=E92,"*N0","YES*")))))</f>
        <v>N0*</v>
      </c>
      <c r="F96" t="str">
        <f>IF(S93&gt;(F68/E26),"N0*",(IF((TAN(F94/57.295))&gt;=S94,"NO*",(IF(((ATAN(S94))*57.2958)&lt;=F92,"*N0","YES*")))))</f>
        <v>N0*</v>
      </c>
      <c r="G96" t="str">
        <f>IF(T93&gt;(G68/E26),"N0*",(IF((TAN(G94/57.295))&gt;=T94,"NO*",(IF(((ATAN(T94))*57.2958)&lt;=G92,"*N0","YES*")))))</f>
        <v>N0*</v>
      </c>
      <c r="H96" t="str">
        <f>IF(U93&gt;(H68/E26),"N0*",(IF((TAN(H94/57.295))&gt;=U94,"NO*",(IF(((ATAN(U94))*57.2958)&lt;=H92,"*N0","YES*")))))</f>
        <v>NO*</v>
      </c>
      <c r="I96" t="s">
        <v>158</v>
      </c>
    </row>
    <row r="97" spans="1:8" ht="12">
      <c r="A97" t="s">
        <v>159</v>
      </c>
      <c r="C97">
        <f aca="true" t="shared" si="14" ref="C97:H97">IF(C96="*NO",C92,C94)</f>
        <v>41.84964976960784</v>
      </c>
      <c r="D97">
        <f t="shared" si="14"/>
        <v>41.853202841503276</v>
      </c>
      <c r="E97">
        <f t="shared" si="14"/>
        <v>41.88731233169935</v>
      </c>
      <c r="F97">
        <f t="shared" si="14"/>
        <v>41.92157409640523</v>
      </c>
      <c r="G97">
        <f t="shared" si="14"/>
        <v>41.95583586111111</v>
      </c>
      <c r="H97">
        <f t="shared" si="14"/>
        <v>41.99009762581699</v>
      </c>
    </row>
    <row r="98" spans="2:8" ht="12">
      <c r="B98" t="s">
        <v>160</v>
      </c>
      <c r="C98">
        <f>(C76/C77)*(1-(SQRT(1-((((C70/0.85)*12000*C77)/(0.85*D9*(C76^2)))*((TAN(C97/57.2958))+(1/(TAN(C97/57.2958))))))))</f>
        <v>1.5436589984782214</v>
      </c>
      <c r="D98">
        <f>(D76/D77)*(1-(SQRT(1-((((D70/0.85)*12000*D77)/(0.85*D9*(D76^2)))*((TAN(D97/57.2958))+(1/(TAN(D97/57.2958))))))))</f>
        <v>1.5436353598396508</v>
      </c>
      <c r="E98">
        <f>(E76/E77)*(1-(SQRT(1-((((E70/0.85)*12000*E77)/(0.85*D9*(E76^2)))*((TAN(E97/57.2958))+(1/(TAN(E97/57.2958))))))))</f>
        <v>1.543409817618132</v>
      </c>
      <c r="F98">
        <f>(F76/F77)*(1-(SQRT(1-((((F70/0.85)*12000*F77)/(0.85*D9*(F76^2)))*((TAN(F97/57.2958))+(1/(TAN(F97/57.2958))))))))</f>
        <v>1.5431857994483764</v>
      </c>
      <c r="G98">
        <f>(G76/G77)*(1-(SQRT(1-((((G70/0.85)*12000*G77)/(0.85*D9*(G76^2)))*((TAN(G97/57.2958))+(1/(TAN(G97/57.2958))))))))</f>
        <v>1.542964315967759</v>
      </c>
      <c r="H98">
        <f>(H76/H77)*(1-(SQRT(1-((((H70/0.85)*12000*H77)/(0.85*D9*(H76^2)))*((TAN(H97/57.2958))+(1/(TAN(H97/57.2958))))))))</f>
        <v>1.5427453653111414</v>
      </c>
    </row>
    <row r="99" spans="2:8" ht="12">
      <c r="B99" t="s">
        <v>161</v>
      </c>
      <c r="C99">
        <f aca="true" t="shared" si="15" ref="C99:H99">C76-((C98*C77)/2)</f>
        <v>1016.9438701065245</v>
      </c>
      <c r="D99">
        <f t="shared" si="15"/>
        <v>1016.9455248112245</v>
      </c>
      <c r="E99">
        <f t="shared" si="15"/>
        <v>1016.9613127667308</v>
      </c>
      <c r="F99">
        <f t="shared" si="15"/>
        <v>1016.9769940386136</v>
      </c>
      <c r="G99">
        <f t="shared" si="15"/>
        <v>1016.9924978822569</v>
      </c>
      <c r="H99">
        <f t="shared" si="15"/>
        <v>1017.0078244282201</v>
      </c>
    </row>
    <row r="100" spans="1:8" ht="12">
      <c r="A100" t="s">
        <v>162</v>
      </c>
      <c r="B100" t="s">
        <v>163</v>
      </c>
      <c r="C100">
        <f aca="true" t="shared" si="16" ref="C100:H100">IF(C89="YES",12*(((C70/0.85)*12*(TAN(C97/57.2958)))/(2*C99*60)),"N/R")</f>
        <v>0.4672440080466265</v>
      </c>
      <c r="D100">
        <f t="shared" si="16"/>
        <v>0.46730155329539463</v>
      </c>
      <c r="E100">
        <f t="shared" si="16"/>
        <v>0.4678543526977136</v>
      </c>
      <c r="F100">
        <f t="shared" si="16"/>
        <v>0.4684102866432909</v>
      </c>
      <c r="G100">
        <f t="shared" si="16"/>
        <v>0.4689668903352282</v>
      </c>
      <c r="H100">
        <f t="shared" si="16"/>
        <v>0.46952416535345276</v>
      </c>
    </row>
    <row r="101" spans="1:9" ht="12">
      <c r="A101" t="s">
        <v>164</v>
      </c>
      <c r="B101" t="s">
        <v>163</v>
      </c>
      <c r="C101">
        <f aca="true" t="shared" si="17" ref="C101:H101">IF(C89="NO","*",12*((((C68/0.85)-C80)*TAN(C97/57.2958))/(60*C75)))</f>
        <v>0.5015204038015553</v>
      </c>
      <c r="D101">
        <f t="shared" si="17"/>
        <v>0.4956814102450102</v>
      </c>
      <c r="E101">
        <f t="shared" si="17"/>
        <v>0.43955245165696555</v>
      </c>
      <c r="F101">
        <f t="shared" si="17"/>
        <v>0.38303669638326465</v>
      </c>
      <c r="G101">
        <f t="shared" si="17"/>
        <v>0.32638419746122826</v>
      </c>
      <c r="H101">
        <f t="shared" si="17"/>
        <v>0.2695947346150947</v>
      </c>
      <c r="I101" t="s">
        <v>165</v>
      </c>
    </row>
    <row r="102" spans="1:9" ht="12">
      <c r="A102" t="s">
        <v>166</v>
      </c>
      <c r="C102">
        <f aca="true" t="shared" si="18" ref="C102:H102">P114</f>
        <v>0.027384919810140258</v>
      </c>
      <c r="D102">
        <f t="shared" si="18"/>
        <v>0.027384919810140258</v>
      </c>
      <c r="E102">
        <f t="shared" si="18"/>
        <v>0.027384919810140258</v>
      </c>
      <c r="F102">
        <f t="shared" si="18"/>
        <v>0.02714284464154143</v>
      </c>
      <c r="G102">
        <f t="shared" si="18"/>
        <v>0.02585708521042212</v>
      </c>
      <c r="H102">
        <f t="shared" si="18"/>
        <v>0.025467458120941158</v>
      </c>
      <c r="I102" t="s">
        <v>167</v>
      </c>
    </row>
    <row r="103" spans="1:21" ht="12">
      <c r="A103" t="s">
        <v>168</v>
      </c>
      <c r="N103" t="s">
        <v>169</v>
      </c>
      <c r="P103">
        <f aca="true" t="shared" si="19" ref="P103:U103">IF(C84&gt;0,(C84/0.9)+((C75*C110)/(2*0.85*12)),((C75*C110)/(2*0.85*12))-(C84/0.9))</f>
        <v>517.0257986817091</v>
      </c>
      <c r="Q103">
        <f t="shared" si="19"/>
        <v>506.9174489068106</v>
      </c>
      <c r="R103">
        <f t="shared" si="19"/>
        <v>559.5071220400594</v>
      </c>
      <c r="S103">
        <f t="shared" si="19"/>
        <v>764.5992480993348</v>
      </c>
      <c r="T103">
        <f t="shared" si="19"/>
        <v>950.7857230683355</v>
      </c>
      <c r="U103">
        <f t="shared" si="19"/>
        <v>1117.6695104676892</v>
      </c>
    </row>
    <row r="104" spans="1:21" ht="12">
      <c r="A104" t="s">
        <v>170</v>
      </c>
      <c r="C104" t="s">
        <v>171</v>
      </c>
      <c r="E104" t="s">
        <v>172</v>
      </c>
      <c r="G104" t="s">
        <v>173</v>
      </c>
      <c r="N104" t="s">
        <v>174</v>
      </c>
      <c r="P104">
        <f aca="true" t="shared" si="20" ref="P104:U104">IF(C84&gt;0,"N/A",IF(P103&gt;(((C75*C70*12*(C77-(4*C98)))/(2*(TAN(C97/57.2958))*0.85*2*C99))-(12*C84/0.9))/12,(((C75*C70*12*(C77-(4*C98)))/(2*(TAN(C97/57.2958))*0.85*2*C99))-(12*C84/0.9))/12,P103))</f>
        <v>508.94501644207634</v>
      </c>
      <c r="Q104">
        <f t="shared" si="20"/>
        <v>499.0248788013783</v>
      </c>
      <c r="R104" t="str">
        <f t="shared" si="20"/>
        <v>N/A</v>
      </c>
      <c r="S104" t="str">
        <f t="shared" si="20"/>
        <v>N/A</v>
      </c>
      <c r="T104" t="str">
        <f t="shared" si="20"/>
        <v>N/A</v>
      </c>
      <c r="U104" t="str">
        <f t="shared" si="20"/>
        <v>N/A</v>
      </c>
    </row>
    <row r="105" spans="1:8" ht="12">
      <c r="A105" t="s">
        <v>175</v>
      </c>
      <c r="C105" s="1">
        <v>5</v>
      </c>
      <c r="D105" s="1">
        <v>5</v>
      </c>
      <c r="E105" s="1">
        <v>5</v>
      </c>
      <c r="F105" s="1">
        <v>5</v>
      </c>
      <c r="G105" s="1">
        <v>5</v>
      </c>
      <c r="H105" s="1">
        <v>5</v>
      </c>
    </row>
    <row r="106" spans="1:9" ht="12">
      <c r="A106" t="s">
        <v>176</v>
      </c>
      <c r="C106">
        <f aca="true" t="shared" si="21" ref="C106:H106">IF(C105=3,0.11,IF(C105=4,0.2,IF(C105=5,0.31,IF(C105=6,0.44,"N/A"))))</f>
        <v>0.31</v>
      </c>
      <c r="D106">
        <f t="shared" si="21"/>
        <v>0.31</v>
      </c>
      <c r="E106">
        <f t="shared" si="21"/>
        <v>0.31</v>
      </c>
      <c r="F106">
        <f t="shared" si="21"/>
        <v>0.31</v>
      </c>
      <c r="G106">
        <f t="shared" si="21"/>
        <v>0.31</v>
      </c>
      <c r="H106">
        <f t="shared" si="21"/>
        <v>0.31</v>
      </c>
      <c r="I106" t="s">
        <v>177</v>
      </c>
    </row>
    <row r="107" spans="1:8" ht="12">
      <c r="A107" t="s">
        <v>178</v>
      </c>
      <c r="C107" s="2" t="s">
        <v>179</v>
      </c>
      <c r="D107" s="2" t="s">
        <v>179</v>
      </c>
      <c r="E107" s="2" t="s">
        <v>179</v>
      </c>
      <c r="F107" s="2" t="s">
        <v>179</v>
      </c>
      <c r="G107" s="2" t="s">
        <v>179</v>
      </c>
      <c r="H107" s="2" t="s">
        <v>179</v>
      </c>
    </row>
    <row r="108" spans="1:9" ht="12">
      <c r="A108" t="s">
        <v>180</v>
      </c>
      <c r="C108">
        <f aca="true" t="shared" si="22" ref="C108:H108">ROUND(IF(C89="NO",0,IF(P110&gt;P111,IF(P111&gt;P109,P109,P111),IF(P110&gt;P109,P109,P110))),2)</f>
        <v>10.36</v>
      </c>
      <c r="D108">
        <f t="shared" si="22"/>
        <v>10.4</v>
      </c>
      <c r="E108">
        <f t="shared" si="22"/>
        <v>10.82</v>
      </c>
      <c r="F108">
        <f t="shared" si="22"/>
        <v>11.27</v>
      </c>
      <c r="G108">
        <f t="shared" si="22"/>
        <v>11.77</v>
      </c>
      <c r="H108">
        <f t="shared" si="22"/>
        <v>12</v>
      </c>
      <c r="I108" t="s">
        <v>181</v>
      </c>
    </row>
    <row r="109" spans="1:21" ht="12">
      <c r="A109" t="s">
        <v>168</v>
      </c>
      <c r="N109" t="s">
        <v>182</v>
      </c>
      <c r="P109">
        <f aca="true" t="shared" si="23" ref="P109:U109">IF(C89="NO","N/A",C106/(IF(C107="A",(C101/24)+(C100/12),IF(C107="B",((C101/24)+(C100/12))/2,((C101/24)+(2*(C100/12)))/6))))</f>
        <v>10.362056234384754</v>
      </c>
      <c r="Q109">
        <f t="shared" si="23"/>
        <v>10.403524491000459</v>
      </c>
      <c r="R109">
        <f t="shared" si="23"/>
        <v>10.819763158215283</v>
      </c>
      <c r="S109">
        <f t="shared" si="23"/>
        <v>11.273946313696582</v>
      </c>
      <c r="T109">
        <f t="shared" si="23"/>
        <v>11.769191182418018</v>
      </c>
      <c r="U109">
        <f t="shared" si="23"/>
        <v>12.311326997136039</v>
      </c>
    </row>
    <row r="110" spans="1:21" ht="12">
      <c r="A110" t="s">
        <v>183</v>
      </c>
      <c r="B110" t="s">
        <v>184</v>
      </c>
      <c r="C110">
        <f aca="true" t="shared" si="24" ref="C110:H110">(1/(TAN(C97/57.2958)))*(SQRT(((C68-(0.85*C80))^2)+(((C70*12*(C77-(4*C98)))/(2*C99))^2)))</f>
        <v>337.8635477242746</v>
      </c>
      <c r="D110">
        <f t="shared" si="24"/>
        <v>337.6683289746241</v>
      </c>
      <c r="E110">
        <f t="shared" si="24"/>
        <v>335.88523825135513</v>
      </c>
      <c r="F110">
        <f t="shared" si="24"/>
        <v>334.26109311572384</v>
      </c>
      <c r="G110">
        <f t="shared" si="24"/>
        <v>332.8054193570951</v>
      </c>
      <c r="H110">
        <f t="shared" si="24"/>
        <v>331.51918454163433</v>
      </c>
      <c r="N110" t="s">
        <v>185</v>
      </c>
      <c r="P110">
        <f aca="true" t="shared" si="25" ref="P110:U110">IF(C89="NO","N/A",(C106*(IF(C107="A",2,IF(C107="B",4,6))))/(C101/12))</f>
        <v>29.669779907674126</v>
      </c>
      <c r="Q110">
        <f t="shared" si="25"/>
        <v>30.019281926762126</v>
      </c>
      <c r="R110">
        <f t="shared" si="25"/>
        <v>33.85261518598607</v>
      </c>
      <c r="S110">
        <f t="shared" si="25"/>
        <v>38.847452843294015</v>
      </c>
      <c r="T110">
        <f t="shared" si="25"/>
        <v>45.59044253901913</v>
      </c>
      <c r="U110">
        <f t="shared" si="25"/>
        <v>55.193956296084366</v>
      </c>
    </row>
    <row r="111" spans="1:21" ht="12">
      <c r="A111" t="s">
        <v>186</v>
      </c>
      <c r="B111" t="s">
        <v>187</v>
      </c>
      <c r="C111">
        <f aca="true" t="shared" si="26" ref="C111:H111">IF(C84&lt;0,(-1*P104),P103)</f>
        <v>-508.94501644207634</v>
      </c>
      <c r="D111">
        <f t="shared" si="26"/>
        <v>-499.0248788013783</v>
      </c>
      <c r="E111">
        <f t="shared" si="26"/>
        <v>559.5071220400594</v>
      </c>
      <c r="F111">
        <f t="shared" si="26"/>
        <v>764.5992480993348</v>
      </c>
      <c r="G111">
        <f t="shared" si="26"/>
        <v>950.7857230683355</v>
      </c>
      <c r="H111">
        <f t="shared" si="26"/>
        <v>1117.6695104676892</v>
      </c>
      <c r="N111" t="s">
        <v>188</v>
      </c>
      <c r="P111">
        <f aca="true" t="shared" si="27" ref="P111:U111">IF(P112&gt;P113,IF(P113&gt;P116,P116,P113),IF(P112&gt;P116,P116,P112))</f>
        <v>12</v>
      </c>
      <c r="Q111">
        <f t="shared" si="27"/>
        <v>12</v>
      </c>
      <c r="R111">
        <f t="shared" si="27"/>
        <v>12</v>
      </c>
      <c r="S111">
        <f t="shared" si="27"/>
        <v>12</v>
      </c>
      <c r="T111">
        <f t="shared" si="27"/>
        <v>12</v>
      </c>
      <c r="U111">
        <f t="shared" si="27"/>
        <v>12</v>
      </c>
    </row>
    <row r="112" spans="1:21" ht="12">
      <c r="A112" t="s">
        <v>189</v>
      </c>
      <c r="C112" t="str">
        <f aca="true" t="shared" si="28" ref="C112:H112">IF(ABS(C111)&gt;ABS(C85/0.9),"YES","NO")</f>
        <v>NO</v>
      </c>
      <c r="D112" t="str">
        <f t="shared" si="28"/>
        <v>NO</v>
      </c>
      <c r="E112" t="str">
        <f t="shared" si="28"/>
        <v>NO</v>
      </c>
      <c r="F112" t="str">
        <f t="shared" si="28"/>
        <v>NO</v>
      </c>
      <c r="G112" t="str">
        <f t="shared" si="28"/>
        <v>NO</v>
      </c>
      <c r="H112" t="str">
        <f t="shared" si="28"/>
        <v>NO</v>
      </c>
      <c r="I112" t="s">
        <v>190</v>
      </c>
      <c r="N112" t="s">
        <v>191</v>
      </c>
      <c r="P112">
        <f>IF((0.75*H4)&gt;24,24,(0.75*H4))</f>
        <v>22.5</v>
      </c>
      <c r="Q112">
        <f>IF((0.75*H4)&gt;24,24,(0.75*H4))</f>
        <v>22.5</v>
      </c>
      <c r="R112">
        <f>IF((0.75*H4)&gt;24,24,(0.75*H4))</f>
        <v>22.5</v>
      </c>
      <c r="S112">
        <f>IF((0.75*H4)&gt;24,24,(0.75*H4))</f>
        <v>22.5</v>
      </c>
      <c r="T112">
        <f>IF((0.75*H4)&gt;24,24,(0.75*H4))</f>
        <v>22.5</v>
      </c>
      <c r="U112">
        <f>IF((0.75*H4)&gt;24,24,(0.75*H4))</f>
        <v>22.5</v>
      </c>
    </row>
    <row r="113" spans="14:21" ht="12">
      <c r="N113" t="s">
        <v>192</v>
      </c>
      <c r="P113">
        <f aca="true" t="shared" si="29" ref="P113:U113">IF((C74+C75)/4&gt;12,12,(C74+C75)/4)</f>
        <v>12</v>
      </c>
      <c r="Q113">
        <f t="shared" si="29"/>
        <v>12</v>
      </c>
      <c r="R113">
        <f t="shared" si="29"/>
        <v>12</v>
      </c>
      <c r="S113">
        <f t="shared" si="29"/>
        <v>12</v>
      </c>
      <c r="T113">
        <f t="shared" si="29"/>
        <v>12</v>
      </c>
      <c r="U113">
        <f t="shared" si="29"/>
        <v>12</v>
      </c>
    </row>
    <row r="114" spans="2:21" ht="12">
      <c r="B114" t="s">
        <v>193</v>
      </c>
      <c r="C114" t="s">
        <v>194</v>
      </c>
      <c r="N114" t="s">
        <v>195</v>
      </c>
      <c r="P114">
        <f>((D13*E15)/80)*(270/60)*(12/P78)*(SQRT((P78/E27)))</f>
        <v>0.027384919810140258</v>
      </c>
      <c r="Q114">
        <f>((D13*E15)/80)*(270/60)*(12/Q78)*(SQRT((Q78/E27)))</f>
        <v>0.027384919810140258</v>
      </c>
      <c r="R114">
        <f>((D13*E15)/80)*(270/60)*(12/R78)*(SQRT((R78/E27)))</f>
        <v>0.027384919810140258</v>
      </c>
      <c r="S114">
        <f>((D13*E15)/80)*(270/60)*(12/S78)*(SQRT((S78/E27)))</f>
        <v>0.02714284464154143</v>
      </c>
      <c r="T114">
        <f>((D13*E15)/80)*(270/60)*(12/T78)*(SQRT((T78/E27)))</f>
        <v>0.02585708521042212</v>
      </c>
      <c r="U114">
        <f>((D13*E15)/80)*(270/60)*(12/U78)*(SQRT((U78/E27)))</f>
        <v>0.025467458120941158</v>
      </c>
    </row>
    <row r="115" spans="3:14" ht="12">
      <c r="C115" t="s">
        <v>196</v>
      </c>
      <c r="N115" t="s">
        <v>197</v>
      </c>
    </row>
    <row r="116" spans="13:29" ht="12">
      <c r="M116" t="s">
        <v>198</v>
      </c>
      <c r="P116">
        <f aca="true" t="shared" si="30" ref="P116:U116">(C106*(IF(C107="A",2,IF(C107="B",4,6))))/(P114/12)</f>
        <v>543.3647461143976</v>
      </c>
      <c r="Q116">
        <f t="shared" si="30"/>
        <v>543.3647461143976</v>
      </c>
      <c r="R116">
        <f t="shared" si="30"/>
        <v>543.3647461143976</v>
      </c>
      <c r="S116">
        <f t="shared" si="30"/>
        <v>548.2107788078534</v>
      </c>
      <c r="T116">
        <f t="shared" si="30"/>
        <v>575.4708962324328</v>
      </c>
      <c r="U116">
        <f t="shared" si="30"/>
        <v>584.2750355900107</v>
      </c>
      <c r="AC116" s="1" t="s">
        <v>19</v>
      </c>
    </row>
  </sheetData>
  <sheetProtection sheet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Valued Gateway Client </cp:lastModifiedBy>
  <dcterms:created xsi:type="dcterms:W3CDTF">2005-01-14T21:07:50Z</dcterms:created>
  <dcterms:modified xsi:type="dcterms:W3CDTF">2005-01-14T21:07:50Z</dcterms:modified>
  <cp:category/>
  <cp:version/>
  <cp:contentType/>
  <cp:contentStatus/>
</cp:coreProperties>
</file>